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Z:\Prabhakar\Tender\LMC Limited tender\TO  FLOAT\"/>
    </mc:Choice>
  </mc:AlternateContent>
  <xr:revisionPtr revIDLastSave="0" documentId="13_ncr:1_{B763930B-B98A-4770-89F2-23731CBED3E8}" xr6:coauthVersionLast="47" xr6:coauthVersionMax="47" xr10:uidLastSave="{00000000-0000-0000-0000-000000000000}"/>
  <bookViews>
    <workbookView xWindow="1170" yWindow="180" windowWidth="19005" windowHeight="10620" firstSheet="4" activeTab="4" xr2:uid="{00000000-000D-0000-FFFF-FFFF00000000}"/>
  </bookViews>
  <sheets>
    <sheet name="RA 01" sheetId="3" state="hidden" r:id="rId1"/>
    <sheet name="revised rate" sheetId="7" state="hidden" r:id="rId2"/>
    <sheet name="AOP (2)" sheetId="9" state="hidden" r:id="rId3"/>
    <sheet name="Sheet1" sheetId="4" state="hidden" r:id="rId4"/>
    <sheet name="SOR" sheetId="55" r:id="rId5"/>
  </sheets>
  <definedNames>
    <definedName name="_xlnm._FilterDatabase" localSheetId="2" hidden="1">'AOP (2)'!$D$3:$Q$121</definedName>
    <definedName name="_xlnm.Print_Area" localSheetId="4">SOR!$A$1:$H$40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 i="55" l="1"/>
  <c r="H25" i="55" s="1"/>
  <c r="G24" i="55"/>
  <c r="H24" i="55" s="1"/>
  <c r="G20" i="55"/>
  <c r="H20" i="55" s="1"/>
  <c r="G19" i="55"/>
  <c r="H19" i="55" s="1"/>
  <c r="G17" i="55"/>
  <c r="G16" i="55"/>
  <c r="H16" i="55" s="1"/>
  <c r="G15" i="55"/>
  <c r="H15" i="55" s="1"/>
  <c r="G12" i="55"/>
  <c r="H12" i="55" s="1"/>
  <c r="G11" i="55"/>
  <c r="H11" i="55" s="1"/>
  <c r="H30" i="55"/>
  <c r="H29" i="55"/>
  <c r="H17" i="55"/>
  <c r="H31" i="55" l="1"/>
  <c r="H32" i="55" s="1"/>
  <c r="H33" i="55" s="1"/>
  <c r="AM121" i="9" l="1"/>
  <c r="P121" i="9"/>
  <c r="F121" i="9"/>
  <c r="AM120" i="9"/>
  <c r="P120" i="9"/>
  <c r="I120" i="9"/>
  <c r="J120" i="9" s="1"/>
  <c r="F120" i="9"/>
  <c r="P119" i="9"/>
  <c r="F119" i="9"/>
  <c r="P118" i="9"/>
  <c r="Q118" i="9" s="1"/>
  <c r="P117" i="9"/>
  <c r="F117" i="9"/>
  <c r="Q117" i="9" s="1"/>
  <c r="P116" i="9"/>
  <c r="Q116" i="9" s="1"/>
  <c r="AM115" i="9"/>
  <c r="P115" i="9"/>
  <c r="I115" i="9"/>
  <c r="J115" i="9" s="1"/>
  <c r="F115" i="9"/>
  <c r="AM114" i="9"/>
  <c r="P114" i="9"/>
  <c r="I114" i="9"/>
  <c r="J114" i="9" s="1"/>
  <c r="F114" i="9"/>
  <c r="AM113" i="9"/>
  <c r="P113" i="9"/>
  <c r="I113" i="9"/>
  <c r="J113" i="9" s="1"/>
  <c r="F113" i="9"/>
  <c r="AM112" i="9"/>
  <c r="P112" i="9"/>
  <c r="I112" i="9"/>
  <c r="J112" i="9" s="1"/>
  <c r="F112" i="9"/>
  <c r="AM111" i="9"/>
  <c r="P111" i="9"/>
  <c r="I111" i="9"/>
  <c r="J111" i="9" s="1"/>
  <c r="F111" i="9"/>
  <c r="AM110" i="9"/>
  <c r="P110" i="9"/>
  <c r="I110" i="9"/>
  <c r="J110" i="9" s="1"/>
  <c r="F110" i="9"/>
  <c r="AM109" i="9"/>
  <c r="P109" i="9"/>
  <c r="I109" i="9"/>
  <c r="J109" i="9" s="1"/>
  <c r="F109" i="9"/>
  <c r="AM108" i="9"/>
  <c r="P108" i="9"/>
  <c r="I108" i="9"/>
  <c r="J108" i="9" s="1"/>
  <c r="F108" i="9"/>
  <c r="AK107" i="9"/>
  <c r="AM107" i="9" s="1"/>
  <c r="P107" i="9"/>
  <c r="I107" i="9"/>
  <c r="J107" i="9" s="1"/>
  <c r="F107" i="9"/>
  <c r="AK106" i="9"/>
  <c r="AM106" i="9" s="1"/>
  <c r="P106" i="9"/>
  <c r="I106" i="9"/>
  <c r="J106" i="9" s="1"/>
  <c r="F106" i="9"/>
  <c r="AM105" i="9"/>
  <c r="P105" i="9"/>
  <c r="I105" i="9"/>
  <c r="J105" i="9" s="1"/>
  <c r="F105" i="9"/>
  <c r="AM104" i="9"/>
  <c r="P104" i="9"/>
  <c r="I104" i="9"/>
  <c r="J104" i="9" s="1"/>
  <c r="F104" i="9"/>
  <c r="P103" i="9"/>
  <c r="Q103" i="9" s="1"/>
  <c r="P102" i="9"/>
  <c r="I102" i="9"/>
  <c r="J102" i="9" s="1"/>
  <c r="F102" i="9"/>
  <c r="P101" i="9"/>
  <c r="I101" i="9"/>
  <c r="J101" i="9" s="1"/>
  <c r="F101" i="9"/>
  <c r="P100" i="9"/>
  <c r="I100" i="9"/>
  <c r="J100" i="9" s="1"/>
  <c r="F100" i="9"/>
  <c r="P99" i="9"/>
  <c r="I99" i="9"/>
  <c r="J99" i="9" s="1"/>
  <c r="F99" i="9"/>
  <c r="P98" i="9"/>
  <c r="I98" i="9"/>
  <c r="J98" i="9" s="1"/>
  <c r="F98" i="9"/>
  <c r="P97" i="9"/>
  <c r="Q97" i="9" s="1"/>
  <c r="AJ96" i="9"/>
  <c r="AK96" i="9" s="1"/>
  <c r="AM96" i="9" s="1"/>
  <c r="P96" i="9"/>
  <c r="I96" i="9"/>
  <c r="J96" i="9" s="1"/>
  <c r="F96" i="9"/>
  <c r="AJ95" i="9"/>
  <c r="AK95" i="9" s="1"/>
  <c r="AM95" i="9" s="1"/>
  <c r="P95" i="9"/>
  <c r="I95" i="9"/>
  <c r="J95" i="9" s="1"/>
  <c r="F95" i="9"/>
  <c r="AM94" i="9"/>
  <c r="P94" i="9"/>
  <c r="I94" i="9"/>
  <c r="J94" i="9" s="1"/>
  <c r="F94" i="9"/>
  <c r="AM93" i="9"/>
  <c r="P93" i="9"/>
  <c r="I93" i="9"/>
  <c r="J93" i="9" s="1"/>
  <c r="F93" i="9"/>
  <c r="AK92" i="9"/>
  <c r="AM92" i="9" s="1"/>
  <c r="P92" i="9"/>
  <c r="I92" i="9"/>
  <c r="J92" i="9" s="1"/>
  <c r="F92" i="9"/>
  <c r="AK91" i="9"/>
  <c r="AM91" i="9" s="1"/>
  <c r="P91" i="9"/>
  <c r="I91" i="9"/>
  <c r="J91" i="9" s="1"/>
  <c r="F91" i="9"/>
  <c r="AK90" i="9"/>
  <c r="AM90" i="9" s="1"/>
  <c r="P90" i="9"/>
  <c r="I90" i="9"/>
  <c r="J90" i="9" s="1"/>
  <c r="F90" i="9"/>
  <c r="AM89" i="9"/>
  <c r="P89" i="9"/>
  <c r="I89" i="9"/>
  <c r="J89" i="9" s="1"/>
  <c r="F89" i="9"/>
  <c r="AM88" i="9"/>
  <c r="P88" i="9"/>
  <c r="I88" i="9"/>
  <c r="J88" i="9" s="1"/>
  <c r="F88" i="9"/>
  <c r="AM87" i="9"/>
  <c r="I87" i="9"/>
  <c r="D87" i="9"/>
  <c r="F87" i="9" s="1"/>
  <c r="AM86" i="9"/>
  <c r="I86" i="9"/>
  <c r="D86" i="9"/>
  <c r="P86" i="9" s="1"/>
  <c r="AM85" i="9"/>
  <c r="P85" i="9"/>
  <c r="I85" i="9"/>
  <c r="J85" i="9" s="1"/>
  <c r="F85" i="9"/>
  <c r="AM84" i="9"/>
  <c r="P84" i="9"/>
  <c r="I84" i="9"/>
  <c r="J84" i="9" s="1"/>
  <c r="F84" i="9"/>
  <c r="P83" i="9"/>
  <c r="I83" i="9"/>
  <c r="J83" i="9" s="1"/>
  <c r="F83" i="9"/>
  <c r="P82" i="9"/>
  <c r="F82" i="9"/>
  <c r="P81" i="9"/>
  <c r="F81" i="9"/>
  <c r="P80" i="9"/>
  <c r="F80" i="9"/>
  <c r="P79" i="9"/>
  <c r="Q79" i="9" s="1"/>
  <c r="P78" i="9"/>
  <c r="Q78" i="9" s="1"/>
  <c r="P77" i="9"/>
  <c r="Q77" i="9" s="1"/>
  <c r="P76" i="9"/>
  <c r="F76" i="9"/>
  <c r="P75" i="9"/>
  <c r="Q75" i="9" s="1"/>
  <c r="P74" i="9"/>
  <c r="I74" i="9"/>
  <c r="J74" i="9" s="1"/>
  <c r="F74" i="9"/>
  <c r="P73" i="9"/>
  <c r="I73" i="9"/>
  <c r="J73" i="9" s="1"/>
  <c r="F73" i="9"/>
  <c r="AK72" i="9"/>
  <c r="AM72" i="9" s="1"/>
  <c r="P72" i="9"/>
  <c r="I72" i="9"/>
  <c r="J72" i="9" s="1"/>
  <c r="F72" i="9"/>
  <c r="AM71" i="9"/>
  <c r="P71" i="9"/>
  <c r="I71" i="9"/>
  <c r="J71" i="9" s="1"/>
  <c r="F71" i="9"/>
  <c r="AM70" i="9"/>
  <c r="P70" i="9"/>
  <c r="I70" i="9"/>
  <c r="J70" i="9" s="1"/>
  <c r="F70" i="9"/>
  <c r="AM69" i="9"/>
  <c r="P69" i="9"/>
  <c r="I69" i="9"/>
  <c r="J69" i="9" s="1"/>
  <c r="F69" i="9"/>
  <c r="AK68" i="9"/>
  <c r="AM68" i="9" s="1"/>
  <c r="P68" i="9"/>
  <c r="I68" i="9"/>
  <c r="J68" i="9" s="1"/>
  <c r="F68" i="9"/>
  <c r="AM67" i="9"/>
  <c r="P67" i="9"/>
  <c r="I67" i="9"/>
  <c r="J67" i="9" s="1"/>
  <c r="F67" i="9"/>
  <c r="P66" i="9"/>
  <c r="G66" i="9"/>
  <c r="AK66" i="9" s="1"/>
  <c r="AM66" i="9" s="1"/>
  <c r="E66" i="9"/>
  <c r="I66" i="9" s="1"/>
  <c r="J66" i="9" s="1"/>
  <c r="AM65" i="9"/>
  <c r="P65" i="9"/>
  <c r="I65" i="9"/>
  <c r="J65" i="9" s="1"/>
  <c r="F65" i="9"/>
  <c r="P64" i="9"/>
  <c r="I64" i="9"/>
  <c r="J64" i="9" s="1"/>
  <c r="G64" i="9"/>
  <c r="AK64" i="9" s="1"/>
  <c r="AM64" i="9" s="1"/>
  <c r="F64" i="9"/>
  <c r="AM63" i="9"/>
  <c r="P63" i="9"/>
  <c r="I63" i="9"/>
  <c r="J63" i="9" s="1"/>
  <c r="F63" i="9"/>
  <c r="AM62" i="9"/>
  <c r="P62" i="9"/>
  <c r="I62" i="9"/>
  <c r="J62" i="9" s="1"/>
  <c r="F62" i="9"/>
  <c r="AL61" i="9"/>
  <c r="AD61" i="9"/>
  <c r="AF61" i="9" s="1"/>
  <c r="I61" i="9"/>
  <c r="D61" i="9"/>
  <c r="AL60" i="9"/>
  <c r="AD60" i="9"/>
  <c r="AF60" i="9" s="1"/>
  <c r="AH60" i="9" s="1"/>
  <c r="P60" i="9"/>
  <c r="I60" i="9"/>
  <c r="J60" i="9" s="1"/>
  <c r="F60" i="9"/>
  <c r="AL59" i="9"/>
  <c r="AD59" i="9"/>
  <c r="AF59" i="9" s="1"/>
  <c r="I59" i="9"/>
  <c r="D59" i="9"/>
  <c r="F59" i="9" s="1"/>
  <c r="AM58" i="9"/>
  <c r="P58" i="9"/>
  <c r="I58" i="9"/>
  <c r="J58" i="9" s="1"/>
  <c r="F58" i="9"/>
  <c r="AM57" i="9"/>
  <c r="P57" i="9"/>
  <c r="I57" i="9"/>
  <c r="J57" i="9" s="1"/>
  <c r="F57" i="9"/>
  <c r="AM56" i="9"/>
  <c r="P56" i="9"/>
  <c r="I56" i="9"/>
  <c r="J56" i="9" s="1"/>
  <c r="F56" i="9"/>
  <c r="AM55" i="9"/>
  <c r="P55" i="9"/>
  <c r="I55" i="9"/>
  <c r="J55" i="9" s="1"/>
  <c r="F55" i="9"/>
  <c r="AM54" i="9"/>
  <c r="P54" i="9"/>
  <c r="I54" i="9"/>
  <c r="J54" i="9" s="1"/>
  <c r="F54" i="9"/>
  <c r="AM53" i="9"/>
  <c r="P53" i="9"/>
  <c r="I53" i="9"/>
  <c r="J53" i="9" s="1"/>
  <c r="F53" i="9"/>
  <c r="AM52" i="9"/>
  <c r="P52" i="9"/>
  <c r="I52" i="9"/>
  <c r="J52" i="9" s="1"/>
  <c r="F52" i="9"/>
  <c r="AK51" i="9"/>
  <c r="AM51" i="9" s="1"/>
  <c r="P51" i="9"/>
  <c r="I51" i="9"/>
  <c r="J51" i="9" s="1"/>
  <c r="F51" i="9"/>
  <c r="AK50" i="9"/>
  <c r="AM50" i="9" s="1"/>
  <c r="P50" i="9"/>
  <c r="I50" i="9"/>
  <c r="J50" i="9" s="1"/>
  <c r="F50" i="9"/>
  <c r="AK49" i="9"/>
  <c r="AM49" i="9" s="1"/>
  <c r="P49" i="9"/>
  <c r="I49" i="9"/>
  <c r="J49" i="9" s="1"/>
  <c r="F49" i="9"/>
  <c r="AM48" i="9"/>
  <c r="P48" i="9"/>
  <c r="I48" i="9"/>
  <c r="J48" i="9" s="1"/>
  <c r="F48" i="9"/>
  <c r="AM47" i="9"/>
  <c r="P47" i="9"/>
  <c r="I47" i="9"/>
  <c r="J47" i="9" s="1"/>
  <c r="F47" i="9"/>
  <c r="P46" i="9"/>
  <c r="Q46" i="9" s="1"/>
  <c r="AK45" i="9"/>
  <c r="AM45" i="9" s="1"/>
  <c r="P45" i="9"/>
  <c r="I45" i="9"/>
  <c r="J45" i="9" s="1"/>
  <c r="F45" i="9"/>
  <c r="AM44" i="9"/>
  <c r="P44" i="9"/>
  <c r="I44" i="9"/>
  <c r="J44" i="9" s="1"/>
  <c r="F44" i="9"/>
  <c r="AM43" i="9"/>
  <c r="P43" i="9"/>
  <c r="I43" i="9"/>
  <c r="J43" i="9" s="1"/>
  <c r="F43" i="9"/>
  <c r="P42" i="9"/>
  <c r="Q42" i="9" s="1"/>
  <c r="P41" i="9"/>
  <c r="F41" i="9"/>
  <c r="P40" i="9"/>
  <c r="Q40" i="9" s="1"/>
  <c r="P39" i="9"/>
  <c r="Q39" i="9" s="1"/>
  <c r="AK38" i="9"/>
  <c r="AM38" i="9" s="1"/>
  <c r="P38" i="9"/>
  <c r="I38" i="9"/>
  <c r="J38" i="9" s="1"/>
  <c r="G38" i="9"/>
  <c r="F38" i="9"/>
  <c r="P37" i="9"/>
  <c r="I37" i="9"/>
  <c r="J37" i="9" s="1"/>
  <c r="G37" i="9"/>
  <c r="F37" i="9"/>
  <c r="AK36" i="9"/>
  <c r="AM36" i="9" s="1"/>
  <c r="P36" i="9"/>
  <c r="I36" i="9"/>
  <c r="J36" i="9" s="1"/>
  <c r="G36" i="9"/>
  <c r="F36" i="9"/>
  <c r="P35" i="9"/>
  <c r="I35" i="9"/>
  <c r="J35" i="9" s="1"/>
  <c r="F35" i="9"/>
  <c r="AK34" i="9"/>
  <c r="AM34" i="9" s="1"/>
  <c r="I34" i="9"/>
  <c r="P34" i="9"/>
  <c r="P33" i="9"/>
  <c r="I33" i="9"/>
  <c r="J33" i="9" s="1"/>
  <c r="G33" i="9"/>
  <c r="F33" i="9"/>
  <c r="AK32" i="9"/>
  <c r="AM32" i="9" s="1"/>
  <c r="I32" i="9"/>
  <c r="J32" i="9" s="1"/>
  <c r="F32" i="9"/>
  <c r="P31" i="9"/>
  <c r="I31" i="9"/>
  <c r="J31" i="9" s="1"/>
  <c r="F31" i="9"/>
  <c r="P30" i="9"/>
  <c r="I30" i="9"/>
  <c r="J30" i="9" s="1"/>
  <c r="F30" i="9"/>
  <c r="P29" i="9"/>
  <c r="I29" i="9"/>
  <c r="J29" i="9" s="1"/>
  <c r="F29" i="9"/>
  <c r="P28" i="9"/>
  <c r="I28" i="9"/>
  <c r="J28" i="9" s="1"/>
  <c r="G28" i="9"/>
  <c r="AK28" i="9" s="1"/>
  <c r="AM28" i="9" s="1"/>
  <c r="F28" i="9"/>
  <c r="P27" i="9"/>
  <c r="I27" i="9"/>
  <c r="J27" i="9" s="1"/>
  <c r="G27" i="9"/>
  <c r="F27" i="9"/>
  <c r="H44" i="9"/>
  <c r="H49" i="9" s="1"/>
  <c r="I26" i="9"/>
  <c r="J26" i="9" s="1"/>
  <c r="F26" i="9"/>
  <c r="AJ25" i="9"/>
  <c r="AK25" i="9" s="1"/>
  <c r="AM25" i="9" s="1"/>
  <c r="P25" i="9"/>
  <c r="I25" i="9"/>
  <c r="J25" i="9" s="1"/>
  <c r="F25" i="9"/>
  <c r="Q48" i="9" l="1"/>
  <c r="Q45" i="9"/>
  <c r="Q91" i="9"/>
  <c r="Q41" i="9"/>
  <c r="Q67" i="9"/>
  <c r="Q80" i="9"/>
  <c r="Q74" i="9"/>
  <c r="Q31" i="9"/>
  <c r="Q47" i="9"/>
  <c r="Q68" i="9"/>
  <c r="Q82" i="9"/>
  <c r="Q76" i="9"/>
  <c r="J86" i="9"/>
  <c r="Q100" i="9"/>
  <c r="Q49" i="9"/>
  <c r="Q50" i="9"/>
  <c r="Q51" i="9"/>
  <c r="Q30" i="9"/>
  <c r="Q35" i="9"/>
  <c r="Q63" i="9"/>
  <c r="Q93" i="9"/>
  <c r="Q94" i="9"/>
  <c r="Q95" i="9"/>
  <c r="Q96" i="9"/>
  <c r="Q99" i="9"/>
  <c r="Q36" i="9"/>
  <c r="Q58" i="9"/>
  <c r="Q81" i="9"/>
  <c r="Q83" i="9"/>
  <c r="F86" i="9"/>
  <c r="Q86" i="9" s="1"/>
  <c r="Q37" i="9"/>
  <c r="Q120" i="9"/>
  <c r="Q28" i="9"/>
  <c r="Q29" i="9"/>
  <c r="Q55" i="9"/>
  <c r="Q57" i="9"/>
  <c r="Q60" i="9"/>
  <c r="Q62" i="9"/>
  <c r="Q98" i="9"/>
  <c r="Q106" i="9"/>
  <c r="Q107" i="9"/>
  <c r="Q108" i="9"/>
  <c r="Q109" i="9"/>
  <c r="Q110" i="9"/>
  <c r="Q111" i="9"/>
  <c r="Q112" i="9"/>
  <c r="Q113" i="9"/>
  <c r="Q114" i="9"/>
  <c r="Q115" i="9"/>
  <c r="Q43" i="9"/>
  <c r="J61" i="9"/>
  <c r="Q85" i="9"/>
  <c r="Q101" i="9"/>
  <c r="Q119" i="9"/>
  <c r="AG59" i="9"/>
  <c r="AH59" i="9"/>
  <c r="Q56" i="9"/>
  <c r="Q84" i="9"/>
  <c r="F66" i="9"/>
  <c r="Q66" i="9" s="1"/>
  <c r="Q71" i="9"/>
  <c r="Q72" i="9"/>
  <c r="Q88" i="9"/>
  <c r="Q104" i="9"/>
  <c r="Q90" i="9"/>
  <c r="Q52" i="9"/>
  <c r="Q64" i="9"/>
  <c r="Q69" i="9"/>
  <c r="Q121" i="9"/>
  <c r="P61" i="9"/>
  <c r="Q54" i="9"/>
  <c r="Q102" i="9"/>
  <c r="Q89" i="9"/>
  <c r="Q105" i="9"/>
  <c r="J59" i="9"/>
  <c r="Q73" i="9"/>
  <c r="J87" i="9"/>
  <c r="Q38" i="9"/>
  <c r="Q33" i="9"/>
  <c r="Q44" i="9"/>
  <c r="Q53" i="9"/>
  <c r="Q65" i="9"/>
  <c r="Q70" i="9"/>
  <c r="Q92" i="9"/>
  <c r="Q27" i="9"/>
  <c r="AH61" i="9"/>
  <c r="AG61" i="9"/>
  <c r="G32" i="9"/>
  <c r="P32" i="9"/>
  <c r="Q32" i="9" s="1"/>
  <c r="G29" i="9"/>
  <c r="AK29" i="9" s="1"/>
  <c r="AM29" i="9" s="1"/>
  <c r="P59" i="9"/>
  <c r="Q59" i="9" s="1"/>
  <c r="F61" i="9"/>
  <c r="P87" i="9"/>
  <c r="Q87" i="9" s="1"/>
  <c r="AJ27" i="9"/>
  <c r="AK27" i="9" s="1"/>
  <c r="AM27" i="9" s="1"/>
  <c r="G34" i="9"/>
  <c r="P26" i="9"/>
  <c r="Q26" i="9" s="1"/>
  <c r="J34" i="9"/>
  <c r="Q25" i="9"/>
  <c r="AG60" i="9"/>
  <c r="AI60" i="9" s="1"/>
  <c r="AK60" i="9" s="1"/>
  <c r="AM60" i="9" s="1"/>
  <c r="F34" i="9"/>
  <c r="Q34" i="9" s="1"/>
  <c r="Q61" i="9" l="1"/>
  <c r="AI61" i="9"/>
  <c r="AK61" i="9" s="1"/>
  <c r="AM61" i="9" s="1"/>
  <c r="J122" i="9"/>
  <c r="J123" i="9" s="1"/>
  <c r="J124" i="9" s="1"/>
  <c r="AI59" i="9"/>
  <c r="AK59" i="9" s="1"/>
  <c r="AM59" i="9" s="1"/>
  <c r="P122" i="9"/>
  <c r="P123" i="9" s="1"/>
  <c r="P124" i="9" s="1"/>
  <c r="F122" i="9"/>
  <c r="F123" i="9" s="1"/>
  <c r="F124" i="9" s="1"/>
  <c r="D26" i="7" l="1"/>
  <c r="D56" i="7" l="1"/>
  <c r="D54" i="7"/>
  <c r="F104" i="7" l="1"/>
  <c r="F108" i="7"/>
  <c r="F106" i="7" l="1"/>
  <c r="K32" i="7" l="1"/>
  <c r="AH110" i="7"/>
  <c r="F110" i="7"/>
  <c r="AH109" i="7"/>
  <c r="I109" i="7"/>
  <c r="J109" i="7" s="1"/>
  <c r="F109" i="7"/>
  <c r="AH102" i="7"/>
  <c r="I102" i="7"/>
  <c r="J102" i="7" s="1"/>
  <c r="F102" i="7"/>
  <c r="AH101" i="7"/>
  <c r="I101" i="7"/>
  <c r="J101" i="7" s="1"/>
  <c r="F101" i="7"/>
  <c r="AH100" i="7"/>
  <c r="I100" i="7"/>
  <c r="J100" i="7" s="1"/>
  <c r="F100" i="7"/>
  <c r="AH99" i="7"/>
  <c r="I99" i="7"/>
  <c r="J99" i="7" s="1"/>
  <c r="F99" i="7"/>
  <c r="AH98" i="7"/>
  <c r="I98" i="7"/>
  <c r="J98" i="7" s="1"/>
  <c r="F98" i="7"/>
  <c r="AH97" i="7"/>
  <c r="I97" i="7"/>
  <c r="J97" i="7" s="1"/>
  <c r="F97" i="7"/>
  <c r="AH96" i="7"/>
  <c r="I96" i="7"/>
  <c r="J96" i="7" s="1"/>
  <c r="F96" i="7"/>
  <c r="AH95" i="7"/>
  <c r="I95" i="7"/>
  <c r="J95" i="7" s="1"/>
  <c r="F95" i="7"/>
  <c r="AH94" i="7"/>
  <c r="I94" i="7"/>
  <c r="J94" i="7" s="1"/>
  <c r="F94" i="7"/>
  <c r="AH93" i="7"/>
  <c r="I93" i="7"/>
  <c r="J93" i="7" s="1"/>
  <c r="F93" i="7"/>
  <c r="AH92" i="7"/>
  <c r="I92" i="7"/>
  <c r="J92" i="7" s="1"/>
  <c r="F92" i="7"/>
  <c r="AH91" i="7"/>
  <c r="I91" i="7"/>
  <c r="J91" i="7" s="1"/>
  <c r="F91" i="7"/>
  <c r="AH90" i="7"/>
  <c r="I90" i="7"/>
  <c r="J90" i="7" s="1"/>
  <c r="F90" i="7"/>
  <c r="AF89" i="7"/>
  <c r="AH89" i="7" s="1"/>
  <c r="I89" i="7"/>
  <c r="J89" i="7" s="1"/>
  <c r="F89" i="7"/>
  <c r="AF88" i="7"/>
  <c r="AH88" i="7" s="1"/>
  <c r="I88" i="7"/>
  <c r="J88" i="7" s="1"/>
  <c r="F88" i="7"/>
  <c r="AH87" i="7"/>
  <c r="I87" i="7"/>
  <c r="J87" i="7" s="1"/>
  <c r="F87" i="7"/>
  <c r="AH86" i="7"/>
  <c r="I86" i="7"/>
  <c r="J86" i="7" s="1"/>
  <c r="F86" i="7"/>
  <c r="AE85" i="7"/>
  <c r="X85" i="7"/>
  <c r="I85" i="7"/>
  <c r="J85" i="7" s="1"/>
  <c r="F85" i="7"/>
  <c r="AE84" i="7"/>
  <c r="I84" i="7"/>
  <c r="J84" i="7" s="1"/>
  <c r="F84" i="7"/>
  <c r="AE83" i="7"/>
  <c r="AF83" i="7" s="1"/>
  <c r="AH83" i="7" s="1"/>
  <c r="I83" i="7"/>
  <c r="J83" i="7" s="1"/>
  <c r="F83" i="7"/>
  <c r="AE82" i="7"/>
  <c r="AF82" i="7" s="1"/>
  <c r="I82" i="7"/>
  <c r="J82" i="7" s="1"/>
  <c r="F82" i="7"/>
  <c r="AH81" i="7"/>
  <c r="I81" i="7"/>
  <c r="J81" i="7" s="1"/>
  <c r="F81" i="7"/>
  <c r="AH80" i="7"/>
  <c r="I80" i="7"/>
  <c r="J80" i="7" s="1"/>
  <c r="F80" i="7"/>
  <c r="AF79" i="7"/>
  <c r="AH79" i="7" s="1"/>
  <c r="I79" i="7"/>
  <c r="J79" i="7" s="1"/>
  <c r="F79" i="7"/>
  <c r="AF78" i="7"/>
  <c r="AH78" i="7" s="1"/>
  <c r="I78" i="7"/>
  <c r="J78" i="7" s="1"/>
  <c r="F78" i="7"/>
  <c r="AF77" i="7"/>
  <c r="AH77" i="7" s="1"/>
  <c r="I77" i="7"/>
  <c r="J77" i="7" s="1"/>
  <c r="F77" i="7"/>
  <c r="AH76" i="7"/>
  <c r="I76" i="7"/>
  <c r="J76" i="7" s="1"/>
  <c r="F76" i="7"/>
  <c r="AH75" i="7"/>
  <c r="I75" i="7"/>
  <c r="J75" i="7" s="1"/>
  <c r="F75" i="7"/>
  <c r="AH74" i="7"/>
  <c r="I74" i="7"/>
  <c r="D74" i="7"/>
  <c r="F74" i="7" s="1"/>
  <c r="AH73" i="7"/>
  <c r="I73" i="7"/>
  <c r="D73" i="7"/>
  <c r="F73" i="7" s="1"/>
  <c r="AH72" i="7"/>
  <c r="I72" i="7"/>
  <c r="J72" i="7" s="1"/>
  <c r="F72" i="7"/>
  <c r="AH71" i="7"/>
  <c r="I71" i="7"/>
  <c r="J71" i="7" s="1"/>
  <c r="F71" i="7"/>
  <c r="I70" i="7"/>
  <c r="J70" i="7" s="1"/>
  <c r="F70" i="7"/>
  <c r="I69" i="7"/>
  <c r="J69" i="7" s="1"/>
  <c r="F69" i="7"/>
  <c r="I68" i="7"/>
  <c r="J68" i="7" s="1"/>
  <c r="F68" i="7"/>
  <c r="AF67" i="7"/>
  <c r="AH67" i="7" s="1"/>
  <c r="I67" i="7"/>
  <c r="J67" i="7" s="1"/>
  <c r="F67" i="7"/>
  <c r="AH66" i="7"/>
  <c r="I66" i="7"/>
  <c r="J66" i="7" s="1"/>
  <c r="F66" i="7"/>
  <c r="AH65" i="7"/>
  <c r="I65" i="7"/>
  <c r="J65" i="7" s="1"/>
  <c r="F65" i="7"/>
  <c r="AH64" i="7"/>
  <c r="I64" i="7"/>
  <c r="J64" i="7" s="1"/>
  <c r="F64" i="7"/>
  <c r="AF63" i="7"/>
  <c r="AH63" i="7" s="1"/>
  <c r="I63" i="7"/>
  <c r="J63" i="7" s="1"/>
  <c r="F63" i="7"/>
  <c r="AH62" i="7"/>
  <c r="I62" i="7"/>
  <c r="J62" i="7" s="1"/>
  <c r="F62" i="7"/>
  <c r="G61" i="7"/>
  <c r="AF61" i="7" s="1"/>
  <c r="AH61" i="7" s="1"/>
  <c r="I61" i="7"/>
  <c r="J61" i="7" s="1"/>
  <c r="AH60" i="7"/>
  <c r="I60" i="7"/>
  <c r="J60" i="7" s="1"/>
  <c r="F60" i="7"/>
  <c r="I59" i="7"/>
  <c r="J59" i="7" s="1"/>
  <c r="G59" i="7"/>
  <c r="AF59" i="7" s="1"/>
  <c r="AH59" i="7" s="1"/>
  <c r="F59" i="7"/>
  <c r="AH58" i="7"/>
  <c r="I58" i="7"/>
  <c r="J58" i="7" s="1"/>
  <c r="F58" i="7"/>
  <c r="AH57" i="7"/>
  <c r="I57" i="7"/>
  <c r="J57" i="7" s="1"/>
  <c r="F57" i="7"/>
  <c r="AG56" i="7"/>
  <c r="Y56" i="7"/>
  <c r="AA56" i="7" s="1"/>
  <c r="I56" i="7"/>
  <c r="F56" i="7"/>
  <c r="AG55" i="7"/>
  <c r="Y55" i="7"/>
  <c r="AA55" i="7" s="1"/>
  <c r="I55" i="7"/>
  <c r="J55" i="7" s="1"/>
  <c r="F55" i="7"/>
  <c r="AG54" i="7"/>
  <c r="Y54" i="7"/>
  <c r="AA54" i="7" s="1"/>
  <c r="I54" i="7"/>
  <c r="F54" i="7"/>
  <c r="AH53" i="7"/>
  <c r="I53" i="7"/>
  <c r="J53" i="7" s="1"/>
  <c r="F53" i="7"/>
  <c r="AH52" i="7"/>
  <c r="I52" i="7"/>
  <c r="J52" i="7" s="1"/>
  <c r="F52" i="7"/>
  <c r="AH51" i="7"/>
  <c r="I51" i="7"/>
  <c r="J51" i="7" s="1"/>
  <c r="F51" i="7"/>
  <c r="AH50" i="7"/>
  <c r="I50" i="7"/>
  <c r="J50" i="7" s="1"/>
  <c r="F50" i="7"/>
  <c r="AH49" i="7"/>
  <c r="I49" i="7"/>
  <c r="J49" i="7" s="1"/>
  <c r="F49" i="7"/>
  <c r="AH48" i="7"/>
  <c r="I48" i="7"/>
  <c r="J48" i="7" s="1"/>
  <c r="F48" i="7"/>
  <c r="AH47" i="7"/>
  <c r="I47" i="7"/>
  <c r="J47" i="7" s="1"/>
  <c r="F47" i="7"/>
  <c r="AF46" i="7"/>
  <c r="AH46" i="7" s="1"/>
  <c r="I46" i="7"/>
  <c r="J46" i="7" s="1"/>
  <c r="F46" i="7"/>
  <c r="AF45" i="7"/>
  <c r="AH45" i="7" s="1"/>
  <c r="I45" i="7"/>
  <c r="J45" i="7" s="1"/>
  <c r="F45" i="7"/>
  <c r="AF44" i="7"/>
  <c r="AH44" i="7" s="1"/>
  <c r="I44" i="7"/>
  <c r="J44" i="7" s="1"/>
  <c r="F44" i="7"/>
  <c r="AH43" i="7"/>
  <c r="I43" i="7"/>
  <c r="J43" i="7" s="1"/>
  <c r="F43" i="7"/>
  <c r="AH42" i="7"/>
  <c r="I42" i="7"/>
  <c r="J42" i="7" s="1"/>
  <c r="F42" i="7"/>
  <c r="AF41" i="7"/>
  <c r="AH41" i="7" s="1"/>
  <c r="I41" i="7"/>
  <c r="J41" i="7" s="1"/>
  <c r="F41" i="7"/>
  <c r="AH40" i="7"/>
  <c r="I40" i="7"/>
  <c r="J40" i="7" s="1"/>
  <c r="F40" i="7"/>
  <c r="AH39" i="7"/>
  <c r="I39" i="7"/>
  <c r="J39" i="7" s="1"/>
  <c r="F39" i="7"/>
  <c r="AF38" i="7"/>
  <c r="AH38" i="7" s="1"/>
  <c r="I38" i="7"/>
  <c r="J38" i="7" s="1"/>
  <c r="G38" i="7"/>
  <c r="F38" i="7"/>
  <c r="I37" i="7"/>
  <c r="J37" i="7" s="1"/>
  <c r="G37" i="7"/>
  <c r="F37" i="7"/>
  <c r="AF36" i="7"/>
  <c r="AH36" i="7" s="1"/>
  <c r="I36" i="7"/>
  <c r="J36" i="7" s="1"/>
  <c r="G36" i="7"/>
  <c r="F36" i="7"/>
  <c r="I35" i="7"/>
  <c r="J35" i="7" s="1"/>
  <c r="F35" i="7"/>
  <c r="AF34" i="7"/>
  <c r="AH34" i="7" s="1"/>
  <c r="K34" i="7"/>
  <c r="I34" i="7"/>
  <c r="J34" i="7" s="1"/>
  <c r="G34" i="7"/>
  <c r="F34" i="7"/>
  <c r="K33" i="7"/>
  <c r="I33" i="7"/>
  <c r="D33" i="7"/>
  <c r="G33" i="7" s="1"/>
  <c r="AF32" i="7"/>
  <c r="AH32" i="7" s="1"/>
  <c r="I32" i="7"/>
  <c r="J32" i="7" s="1"/>
  <c r="G32" i="7"/>
  <c r="F32" i="7"/>
  <c r="I31" i="7"/>
  <c r="J31" i="7" s="1"/>
  <c r="F31" i="7"/>
  <c r="I30" i="7"/>
  <c r="J30" i="7" s="1"/>
  <c r="F30" i="7"/>
  <c r="I29" i="7"/>
  <c r="J29" i="7" s="1"/>
  <c r="G29" i="7"/>
  <c r="AF29" i="7" s="1"/>
  <c r="AH29" i="7" s="1"/>
  <c r="F29" i="7"/>
  <c r="I28" i="7"/>
  <c r="J28" i="7" s="1"/>
  <c r="G28" i="7"/>
  <c r="AF28" i="7" s="1"/>
  <c r="AH28" i="7" s="1"/>
  <c r="F28" i="7"/>
  <c r="I27" i="7"/>
  <c r="D27" i="7"/>
  <c r="G27" i="7" s="1"/>
  <c r="I26" i="7"/>
  <c r="F26" i="7"/>
  <c r="AE25" i="7"/>
  <c r="AF25" i="7" s="1"/>
  <c r="AH25" i="7" s="1"/>
  <c r="I25" i="7"/>
  <c r="J25" i="7" s="1"/>
  <c r="F25" i="7"/>
  <c r="J26" i="7" l="1"/>
  <c r="J73" i="7"/>
  <c r="J74" i="7"/>
  <c r="J54" i="7"/>
  <c r="J33" i="7"/>
  <c r="J56" i="7"/>
  <c r="J27" i="7"/>
  <c r="AE27" i="7"/>
  <c r="AF27" i="7" s="1"/>
  <c r="AH27" i="7" s="1"/>
  <c r="AH82" i="7"/>
  <c r="AF84" i="7"/>
  <c r="AH84" i="7" s="1"/>
  <c r="AB54" i="7"/>
  <c r="AC54" i="7"/>
  <c r="AC56" i="7"/>
  <c r="AB56" i="7"/>
  <c r="AC55" i="7"/>
  <c r="AB55" i="7"/>
  <c r="AD55" i="7" s="1"/>
  <c r="AF55" i="7" s="1"/>
  <c r="AH55" i="7" s="1"/>
  <c r="H40" i="7"/>
  <c r="H44" i="7" s="1"/>
  <c r="AF85" i="7"/>
  <c r="AH85" i="7" s="1"/>
  <c r="F33" i="7"/>
  <c r="F27" i="7"/>
  <c r="F61" i="7"/>
  <c r="AD56" i="7" l="1"/>
  <c r="AF56" i="7" s="1"/>
  <c r="AH56" i="7" s="1"/>
  <c r="AD54" i="7"/>
  <c r="AF54" i="7" s="1"/>
  <c r="AH54" i="7" s="1"/>
  <c r="J111" i="7"/>
  <c r="J112" i="7" s="1"/>
  <c r="J113" i="7" s="1"/>
  <c r="F111" i="7"/>
  <c r="F112" i="7" s="1"/>
  <c r="F113" i="7" s="1"/>
  <c r="E13" i="4" l="1"/>
  <c r="E5" i="4"/>
  <c r="E10" i="4" l="1"/>
  <c r="E4" i="4" l="1"/>
  <c r="E6" i="4"/>
  <c r="E7" i="4"/>
  <c r="E3" i="4"/>
  <c r="E9" i="4" l="1"/>
  <c r="E11" i="4" s="1"/>
  <c r="D15" i="4" s="1"/>
  <c r="L11" i="3"/>
  <c r="L12" i="3"/>
  <c r="L13" i="3"/>
  <c r="L14" i="3"/>
  <c r="L15" i="3"/>
  <c r="L16" i="3"/>
  <c r="L17" i="3"/>
  <c r="L18" i="3"/>
  <c r="L19" i="3"/>
  <c r="L20" i="3"/>
  <c r="L21" i="3"/>
  <c r="L22" i="3"/>
  <c r="L23" i="3"/>
  <c r="L24" i="3"/>
  <c r="L25" i="3"/>
  <c r="L26" i="3"/>
  <c r="L27" i="3"/>
  <c r="L28" i="3"/>
  <c r="L29" i="3"/>
  <c r="L30" i="3"/>
  <c r="L31" i="3"/>
  <c r="L32" i="3"/>
  <c r="L33" i="3"/>
  <c r="L34" i="3"/>
  <c r="L35" i="3"/>
  <c r="L36" i="3"/>
  <c r="L37" i="3"/>
  <c r="L38" i="3"/>
  <c r="L39" i="3"/>
  <c r="L40" i="3"/>
  <c r="L41" i="3"/>
  <c r="L42" i="3"/>
  <c r="L43" i="3"/>
  <c r="L44" i="3"/>
  <c r="L45" i="3"/>
  <c r="L46" i="3"/>
  <c r="L47" i="3"/>
  <c r="L48" i="3"/>
  <c r="L49" i="3"/>
  <c r="L50" i="3"/>
  <c r="L51" i="3"/>
  <c r="L52" i="3"/>
  <c r="L53" i="3"/>
  <c r="L54" i="3"/>
  <c r="L55" i="3"/>
  <c r="L56" i="3"/>
  <c r="L57" i="3"/>
  <c r="L58" i="3"/>
  <c r="L59" i="3"/>
  <c r="L60" i="3"/>
  <c r="L61" i="3"/>
  <c r="L62" i="3"/>
  <c r="L63" i="3"/>
  <c r="L64" i="3"/>
  <c r="L65" i="3"/>
  <c r="L66" i="3"/>
  <c r="L67" i="3"/>
  <c r="L68" i="3"/>
  <c r="L69" i="3"/>
  <c r="L70" i="3"/>
  <c r="L71" i="3"/>
  <c r="L72" i="3"/>
  <c r="L73" i="3"/>
  <c r="L74" i="3"/>
  <c r="L75" i="3"/>
  <c r="L76" i="3"/>
  <c r="L77" i="3"/>
  <c r="L78" i="3"/>
  <c r="L79" i="3"/>
  <c r="L80" i="3"/>
  <c r="L81" i="3"/>
  <c r="L82" i="3"/>
  <c r="L83" i="3"/>
  <c r="L84" i="3"/>
  <c r="L85" i="3"/>
  <c r="L86" i="3"/>
  <c r="L87" i="3"/>
  <c r="L88" i="3"/>
  <c r="L89" i="3"/>
  <c r="L90" i="3"/>
  <c r="L91" i="3"/>
  <c r="L92" i="3"/>
  <c r="L93" i="3"/>
  <c r="L94" i="3"/>
  <c r="L95" i="3"/>
  <c r="L96" i="3"/>
  <c r="L97" i="3"/>
  <c r="L98" i="3"/>
  <c r="L99" i="3"/>
  <c r="L100" i="3"/>
  <c r="L101" i="3"/>
  <c r="L102" i="3"/>
  <c r="L103" i="3"/>
  <c r="L104" i="3"/>
  <c r="L105" i="3"/>
  <c r="L106" i="3"/>
  <c r="L107" i="3"/>
  <c r="L108" i="3"/>
  <c r="L109" i="3"/>
  <c r="L110" i="3"/>
  <c r="L111" i="3"/>
  <c r="L112" i="3"/>
  <c r="L113" i="3"/>
  <c r="L114" i="3"/>
  <c r="L115" i="3"/>
  <c r="L116" i="3"/>
  <c r="L117" i="3"/>
  <c r="L118" i="3"/>
  <c r="L119" i="3"/>
  <c r="L120" i="3"/>
  <c r="L121" i="3"/>
  <c r="L122" i="3"/>
  <c r="L123" i="3"/>
  <c r="L124" i="3"/>
  <c r="L125" i="3"/>
  <c r="L126" i="3"/>
  <c r="L127" i="3"/>
  <c r="L128" i="3"/>
  <c r="L129" i="3"/>
  <c r="L130" i="3"/>
  <c r="L131" i="3"/>
  <c r="L132" i="3"/>
  <c r="L133" i="3"/>
  <c r="L134" i="3"/>
  <c r="L135" i="3"/>
  <c r="L136" i="3"/>
  <c r="L137" i="3"/>
  <c r="L138" i="3"/>
  <c r="L139" i="3"/>
  <c r="L140" i="3"/>
  <c r="L141" i="3"/>
  <c r="L142" i="3"/>
  <c r="L143" i="3"/>
  <c r="L144" i="3"/>
  <c r="L145" i="3"/>
  <c r="L146" i="3"/>
  <c r="L147" i="3"/>
  <c r="L148" i="3"/>
  <c r="L149" i="3"/>
  <c r="L150" i="3"/>
  <c r="L151" i="3"/>
  <c r="L152" i="3"/>
  <c r="L153" i="3"/>
  <c r="L154" i="3"/>
  <c r="L155" i="3"/>
  <c r="L156" i="3"/>
  <c r="L157" i="3"/>
  <c r="L158" i="3"/>
  <c r="L159" i="3"/>
  <c r="L160" i="3"/>
  <c r="L161" i="3"/>
  <c r="L162" i="3"/>
  <c r="L163" i="3"/>
  <c r="L10" i="3"/>
  <c r="J163" i="3"/>
  <c r="F163" i="3"/>
  <c r="J162" i="3"/>
  <c r="F162" i="3"/>
  <c r="J161" i="3"/>
  <c r="F161" i="3"/>
  <c r="J160" i="3"/>
  <c r="F160" i="3"/>
  <c r="J159" i="3"/>
  <c r="F159" i="3"/>
  <c r="J158" i="3"/>
  <c r="F158" i="3"/>
  <c r="J157" i="3"/>
  <c r="F157" i="3"/>
  <c r="J156" i="3"/>
  <c r="F156" i="3"/>
  <c r="J155" i="3"/>
  <c r="F155" i="3"/>
  <c r="J154" i="3"/>
  <c r="F154" i="3"/>
  <c r="J153" i="3"/>
  <c r="J152" i="3"/>
  <c r="J151" i="3"/>
  <c r="F151" i="3"/>
  <c r="J150" i="3"/>
  <c r="F150" i="3"/>
  <c r="J149" i="3"/>
  <c r="F149" i="3"/>
  <c r="J148" i="3"/>
  <c r="F148" i="3"/>
  <c r="J147" i="3"/>
  <c r="F147" i="3"/>
  <c r="J146" i="3"/>
  <c r="F146" i="3"/>
  <c r="J145" i="3"/>
  <c r="F145" i="3"/>
  <c r="J144" i="3"/>
  <c r="F144" i="3"/>
  <c r="J143" i="3"/>
  <c r="F143" i="3"/>
  <c r="J142" i="3"/>
  <c r="F142" i="3"/>
  <c r="J141" i="3"/>
  <c r="F141" i="3"/>
  <c r="J140" i="3"/>
  <c r="F140" i="3"/>
  <c r="J139" i="3"/>
  <c r="J138" i="3"/>
  <c r="J137" i="3"/>
  <c r="F137" i="3"/>
  <c r="J136" i="3"/>
  <c r="F136" i="3"/>
  <c r="J135" i="3"/>
  <c r="F135" i="3"/>
  <c r="J134" i="3"/>
  <c r="F134" i="3"/>
  <c r="J133" i="3"/>
  <c r="J132" i="3"/>
  <c r="J131" i="3"/>
  <c r="F131" i="3"/>
  <c r="J130" i="3"/>
  <c r="F130" i="3"/>
  <c r="J129" i="3"/>
  <c r="J128" i="3"/>
  <c r="J127" i="3"/>
  <c r="F127" i="3"/>
  <c r="J126" i="3"/>
  <c r="F126" i="3"/>
  <c r="J125" i="3"/>
  <c r="F125" i="3"/>
  <c r="J124" i="3"/>
  <c r="F124" i="3"/>
  <c r="J123" i="3"/>
  <c r="J122" i="3"/>
  <c r="F122" i="3"/>
  <c r="J121" i="3"/>
  <c r="F121" i="3"/>
  <c r="J120" i="3"/>
  <c r="F120" i="3"/>
  <c r="J119" i="3"/>
  <c r="F119" i="3"/>
  <c r="J118" i="3"/>
  <c r="F118" i="3"/>
  <c r="J117" i="3"/>
  <c r="F117" i="3"/>
  <c r="J116" i="3"/>
  <c r="F116" i="3"/>
  <c r="J115" i="3"/>
  <c r="F115" i="3"/>
  <c r="J114" i="3"/>
  <c r="J113" i="3"/>
  <c r="J112" i="3"/>
  <c r="F112" i="3"/>
  <c r="J111" i="3"/>
  <c r="F111" i="3"/>
  <c r="J110" i="3"/>
  <c r="F110" i="3"/>
  <c r="J109" i="3"/>
  <c r="F109" i="3"/>
  <c r="J108" i="3"/>
  <c r="F108" i="3"/>
  <c r="J107" i="3"/>
  <c r="F107" i="3"/>
  <c r="J106" i="3"/>
  <c r="J105" i="3"/>
  <c r="J104" i="3"/>
  <c r="F104" i="3"/>
  <c r="J103" i="3"/>
  <c r="F103" i="3"/>
  <c r="J102" i="3"/>
  <c r="F102" i="3"/>
  <c r="J101" i="3"/>
  <c r="F101" i="3"/>
  <c r="J100" i="3"/>
  <c r="J99" i="3"/>
  <c r="J98" i="3"/>
  <c r="F98" i="3"/>
  <c r="J97" i="3"/>
  <c r="F97" i="3"/>
  <c r="J96" i="3"/>
  <c r="J95" i="3"/>
  <c r="J94" i="3"/>
  <c r="F94" i="3"/>
  <c r="J93" i="3"/>
  <c r="F93" i="3"/>
  <c r="J92" i="3"/>
  <c r="F92" i="3"/>
  <c r="J91" i="3"/>
  <c r="F91" i="3"/>
  <c r="J90" i="3"/>
  <c r="J89" i="3"/>
  <c r="J88" i="3"/>
  <c r="F88" i="3"/>
  <c r="J87" i="3"/>
  <c r="F87" i="3"/>
  <c r="J86" i="3"/>
  <c r="F86" i="3"/>
  <c r="J85" i="3"/>
  <c r="F85" i="3"/>
  <c r="J84" i="3"/>
  <c r="J83" i="3"/>
  <c r="J82" i="3"/>
  <c r="F82" i="3"/>
  <c r="J81" i="3"/>
  <c r="F81" i="3"/>
  <c r="J80" i="3"/>
  <c r="J79" i="3"/>
  <c r="F79" i="3"/>
  <c r="J78" i="3"/>
  <c r="F78" i="3"/>
  <c r="J77" i="3"/>
  <c r="F77" i="3"/>
  <c r="J76" i="3"/>
  <c r="F76" i="3"/>
  <c r="J75" i="3"/>
  <c r="F75" i="3"/>
  <c r="J74" i="3"/>
  <c r="F74" i="3"/>
  <c r="J73" i="3"/>
  <c r="F73" i="3"/>
  <c r="J72" i="3"/>
  <c r="F72" i="3"/>
  <c r="J71" i="3"/>
  <c r="F71" i="3"/>
  <c r="J70" i="3"/>
  <c r="F70" i="3"/>
  <c r="J69" i="3"/>
  <c r="F69" i="3"/>
  <c r="J68" i="3"/>
  <c r="F68" i="3"/>
  <c r="J67" i="3"/>
  <c r="F67" i="3"/>
  <c r="J66" i="3"/>
  <c r="F66" i="3"/>
  <c r="J65" i="3"/>
  <c r="F65" i="3"/>
  <c r="J64" i="3"/>
  <c r="F64" i="3"/>
  <c r="J63" i="3"/>
  <c r="F63" i="3"/>
  <c r="J62" i="3"/>
  <c r="F62" i="3"/>
  <c r="J61" i="3"/>
  <c r="J60" i="3"/>
  <c r="J59" i="3"/>
  <c r="J58" i="3"/>
  <c r="F58" i="3"/>
  <c r="J57" i="3"/>
  <c r="F57" i="3"/>
  <c r="J56" i="3"/>
  <c r="F56" i="3"/>
  <c r="J55" i="3"/>
  <c r="F55" i="3"/>
  <c r="J54" i="3"/>
  <c r="F54" i="3"/>
  <c r="F53" i="3"/>
  <c r="J52" i="3"/>
  <c r="F52" i="3"/>
  <c r="J51" i="3"/>
  <c r="F51" i="3"/>
  <c r="J50" i="3"/>
  <c r="F50" i="3"/>
  <c r="J49" i="3"/>
  <c r="F49" i="3"/>
  <c r="J48" i="3"/>
  <c r="F48" i="3"/>
  <c r="J47" i="3"/>
  <c r="F47" i="3"/>
  <c r="J46" i="3"/>
  <c r="F46" i="3"/>
  <c r="J45" i="3"/>
  <c r="F45" i="3"/>
  <c r="J44" i="3"/>
  <c r="F44" i="3"/>
  <c r="J43" i="3"/>
  <c r="F43" i="3"/>
  <c r="J42" i="3"/>
  <c r="F42" i="3"/>
  <c r="J41" i="3"/>
  <c r="F41" i="3"/>
  <c r="J40" i="3"/>
  <c r="F40" i="3"/>
  <c r="J39" i="3"/>
  <c r="F39" i="3"/>
  <c r="J38" i="3"/>
  <c r="F38" i="3"/>
  <c r="J37" i="3"/>
  <c r="F37" i="3"/>
  <c r="J36" i="3"/>
  <c r="F36" i="3"/>
  <c r="J35" i="3"/>
  <c r="F35" i="3"/>
  <c r="J34" i="3"/>
  <c r="F34" i="3"/>
  <c r="J33" i="3"/>
  <c r="F33" i="3"/>
  <c r="J32" i="3"/>
  <c r="F32" i="3"/>
  <c r="J31" i="3"/>
  <c r="F31" i="3"/>
  <c r="J30" i="3"/>
  <c r="F30" i="3"/>
  <c r="J29" i="3"/>
  <c r="F29" i="3"/>
  <c r="J28" i="3"/>
  <c r="F28" i="3"/>
  <c r="J27" i="3"/>
  <c r="F27" i="3"/>
  <c r="J26" i="3"/>
  <c r="F26" i="3"/>
  <c r="J25" i="3"/>
  <c r="F25" i="3"/>
  <c r="J24" i="3"/>
  <c r="F24" i="3"/>
  <c r="J23" i="3"/>
  <c r="F23" i="3"/>
  <c r="J22" i="3"/>
  <c r="F22" i="3"/>
  <c r="J21" i="3"/>
  <c r="F21" i="3"/>
  <c r="J20" i="3"/>
  <c r="F20" i="3"/>
  <c r="J19" i="3"/>
  <c r="F19" i="3"/>
  <c r="J18" i="3"/>
  <c r="F18" i="3"/>
  <c r="J17" i="3"/>
  <c r="F17" i="3"/>
  <c r="J16" i="3"/>
  <c r="F16" i="3"/>
  <c r="J15" i="3"/>
  <c r="F15" i="3"/>
  <c r="J14" i="3"/>
  <c r="F14" i="3"/>
  <c r="J13" i="3"/>
  <c r="F13" i="3"/>
  <c r="J12" i="3"/>
  <c r="F12" i="3"/>
  <c r="F11" i="3"/>
  <c r="J10" i="3"/>
  <c r="F10" i="3"/>
  <c r="L164" i="3" l="1"/>
  <c r="L165" i="3" s="1"/>
  <c r="L166" i="3" s="1"/>
  <c r="J11" i="3"/>
  <c r="J53" i="3"/>
  <c r="J164" i="3" l="1"/>
  <c r="J165" i="3" s="1"/>
  <c r="J166" i="3" l="1"/>
</calcChain>
</file>

<file path=xl/sharedStrings.xml><?xml version="1.0" encoding="utf-8"?>
<sst xmlns="http://schemas.openxmlformats.org/spreadsheetml/2006/main" count="979" uniqueCount="454">
  <si>
    <t xml:space="preserve">M/S MECH ENGINEERS </t>
  </si>
  <si>
    <t xml:space="preserve">Client : M/s Goa Natural Gas Pvt. Ltd. </t>
  </si>
  <si>
    <t>Consultant : VCS Quality Services Pvt. Ltd.</t>
  </si>
  <si>
    <t>GA: North Goa</t>
  </si>
  <si>
    <t>RATE CONTRACT FOR LAYING ,ABOVE GROUND GI INSTALLATIONS INCLUDING LAST MILE CONNECTIVITY &amp; DIRECT MARKETING SERVICES AT NORTH GOA - GA</t>
  </si>
  <si>
    <t xml:space="preserve">ITEM NO. </t>
  </si>
  <si>
    <t xml:space="preserve">DESCRPTION </t>
  </si>
  <si>
    <t>UNIT</t>
  </si>
  <si>
    <t>SOR AMOUNT</t>
  </si>
  <si>
    <t>UNIT RATE</t>
  </si>
  <si>
    <t>QTY</t>
  </si>
  <si>
    <t>PART - I : PE SECTION</t>
  </si>
  <si>
    <t>PL000.01.00</t>
  </si>
  <si>
    <t>MDPE pipeline laying in all type of surface ,using any laying methodology(Excluding HDD for 90 mm &amp;125 mm);Clear cover to pipeline min 1.0 m;(Refer Drg No 1007-10-03-27)</t>
  </si>
  <si>
    <t>PL000.01.01</t>
  </si>
  <si>
    <t>20 mm Dia  &amp;  32 MM</t>
  </si>
  <si>
    <t>completion of laying work in continuous stretches of minimum 500mtrs.Including jointing of pipeline, backfilling and compaction for the complete stretch as per scope of work and on submission of DPR/WPR and graphs.</t>
  </si>
  <si>
    <t>M</t>
  </si>
  <si>
    <t>testing of completed network and submission of “As Built, As Graph Drawings”subject to installation of PE Stop Off Valve and permanent markers in the network area &amp; On completion of 80% service line/taping as per duly singed &amp; approved survey of laid network.</t>
  </si>
  <si>
    <t>purchase / work order closure and submission of all documents as
per contract &amp; reconciliation of material.</t>
  </si>
  <si>
    <t>PL000.01.02</t>
  </si>
  <si>
    <t>63 mm Dia</t>
  </si>
  <si>
    <t>PL000.01.03</t>
  </si>
  <si>
    <t>90 mm Dia</t>
  </si>
  <si>
    <t>PL000.01.04</t>
  </si>
  <si>
    <t>125 mm Dia</t>
  </si>
  <si>
    <t>PL000.02.00</t>
  </si>
  <si>
    <t>MDPE pipeline laying by HDD Method ,with or without casing (Including supply &amp; Installation of HDPE casing pipes)</t>
  </si>
  <si>
    <t>PL000.02.01</t>
  </si>
  <si>
    <t>Laying of 63 mm /90 mm Dia Mdpe by HDD method in all type of soil strata including hard rock strata without casing.</t>
  </si>
  <si>
    <t>PL000.02.02</t>
  </si>
  <si>
    <t>laying of 125 mm Dia MDPE by HDD method  in all type of soil strata including hard rock strata without casing.</t>
  </si>
  <si>
    <t>PL000.02.03</t>
  </si>
  <si>
    <t>Laying of 63 mm /90 mm Dia Mdpe by HDD method in all type of soil strata including hard rock strata with casing.</t>
  </si>
  <si>
    <t>PL000.02.04</t>
  </si>
  <si>
    <t>laying of 125 mm Dia MDPE by HDD method  in all type of soil strata including hard rock strata with casing.</t>
  </si>
  <si>
    <t>Commissioning of already pressure tested and N2 Purged MDPE pipeline (from 20 mm to 125 mm).</t>
  </si>
  <si>
    <t>Progressively on completion of individual item work on pro-rata basis as certified in monthly progress bill.</t>
  </si>
  <si>
    <t>Completion of all works in all respects and acceptance thereof by Engineer-in-
Charge.</t>
  </si>
  <si>
    <t>PL000.03.00</t>
  </si>
  <si>
    <t>Excavation of hard rock</t>
  </si>
  <si>
    <t>PL000.03.01</t>
  </si>
  <si>
    <t>cum</t>
  </si>
  <si>
    <t>PL000.04.00</t>
  </si>
  <si>
    <t>Fabrication &amp; Installation of Pipeline Markers :</t>
  </si>
  <si>
    <t>PL000.04.01</t>
  </si>
  <si>
    <t>RCC route Markers as per Drg No 1007-10-03--29 as per instruction of EIC and specifications.</t>
  </si>
  <si>
    <t>Nos</t>
  </si>
  <si>
    <t>PL000.04.02</t>
  </si>
  <si>
    <t>Pole Markers with foundation as per Drawing No Drg No  1007-10-03-30 &amp; 1007-10-03-31 and instructions of EIC and Specification.</t>
  </si>
  <si>
    <t>PL000.04.03</t>
  </si>
  <si>
    <t>Plate marker as per  Drg No 1007-10-03--28 at house as per instruction of EIC and specifications.</t>
  </si>
  <si>
    <t>PL000.05.00</t>
  </si>
  <si>
    <t>Charges of compliance to health ,Safety &amp; Environment (HSE) as detailed in scope of work.</t>
  </si>
  <si>
    <t>PL000.05.01</t>
  </si>
  <si>
    <t>MDPE Section</t>
  </si>
  <si>
    <t>Mtrs</t>
  </si>
  <si>
    <t>PL000.05.02</t>
  </si>
  <si>
    <t>GI Section- Upto 4th GI (G+4)</t>
  </si>
  <si>
    <t>PL000.05.03</t>
  </si>
  <si>
    <t xml:space="preserve">GI Section- GI (G+5) and above including high rise Above 4th floor </t>
  </si>
  <si>
    <t>PART II : GI/COPPER SECTION</t>
  </si>
  <si>
    <t>PL000.06.00</t>
  </si>
  <si>
    <t>Supply &amp; Installation of powder coated GI Pipe &amp; Fittings</t>
  </si>
  <si>
    <t>NON LMC</t>
  </si>
  <si>
    <t>PL000.06.01</t>
  </si>
  <si>
    <t>Supply and installation powder coated 1/2"GI pipe from TF to Regulator isolation valve including TF of required size.</t>
  </si>
  <si>
    <t>installation of GI / Copper pipes including all fittings, regulators, valves, clamping, cementing of holes, painting and testing of installation and material consumption booking and updation of meter no. against BP in CRM/SAP</t>
  </si>
  <si>
    <t>after testing and commissioning of GI, copper installation on gas &amp; submission of RFC card.</t>
  </si>
  <si>
    <t>purchase / work order closure and submission of all documents as per contract and reconciliation of GNGPL issued material.</t>
  </si>
  <si>
    <t>PL000.06.02</t>
  </si>
  <si>
    <t>Supply &amp; installation of powder coated 1/2 " GI pipe from regulator isolation valve up to G + 4 Apt and individual Kothi/Bunglow.Refer Drf No: 1007-10-03-02</t>
  </si>
  <si>
    <t>PL000.06.03</t>
  </si>
  <si>
    <t>Supply and installation powder coated 3/4" Gipipe from TF to regulator isolation valve including TF of required size</t>
  </si>
  <si>
    <t>PL000.06.04</t>
  </si>
  <si>
    <t>Supply and installation powder coated 3/4" Gipipe from TF to regulator isolation valve to lateral isolation valve above G + 4 Apt and individual  Kothi/Bunglow.Refer Drf No: 1007-10-03-02</t>
  </si>
  <si>
    <t>PL000.06.05</t>
  </si>
  <si>
    <t>Supply and installation powder coated 1"from TF to regulator isolation valve including TF of required size</t>
  </si>
  <si>
    <t>PL000.06.06</t>
  </si>
  <si>
    <t>Supply and installation powder coated 1" Gipipe from TF to regulator isolation valve to lateral isolation valve above G + 4 Apt and individual  Kothi/Bunglow.Refer Drf No: 1007-10-03-02</t>
  </si>
  <si>
    <t>Commissioning of already pressure Tested GI Pipe /Riser (1/2",3/4" and 1")</t>
  </si>
  <si>
    <t>PL000.07.00</t>
  </si>
  <si>
    <t>LAST MILE CONNECTIVITY(LMC)</t>
  </si>
  <si>
    <t>PL000.07.01</t>
  </si>
  <si>
    <t xml:space="preserve">LMC- PNG CONNECTIONS IN PROJECT AREA </t>
  </si>
  <si>
    <t>PL000.07.02</t>
  </si>
  <si>
    <t>LMC-PNG CONNECTIONS IN O &amp; M  AREA (ON EXISTING RISER)</t>
  </si>
  <si>
    <t>PL000.08.00</t>
  </si>
  <si>
    <t>Powder coated GI and Cu Installation for pipes more than 4m per connection</t>
  </si>
  <si>
    <t>PL000.08.01</t>
  </si>
  <si>
    <t>1/2" powder coated GI</t>
  </si>
  <si>
    <t>PL000.08.02</t>
  </si>
  <si>
    <t>12 mm copper pipe</t>
  </si>
  <si>
    <t>PL000.09.00</t>
  </si>
  <si>
    <t>Testing and conversion of domestic appliances in projest &amp; O &amp; M areas:</t>
  </si>
  <si>
    <t>PL000.09.01</t>
  </si>
  <si>
    <t>Testing and conversion of Domestic Appliances in O &amp; M area : (NG conversion per connection)</t>
  </si>
  <si>
    <t>NOS</t>
  </si>
  <si>
    <t>Part - III : Civil works</t>
  </si>
  <si>
    <t>CV001.00.00</t>
  </si>
  <si>
    <t>Equipment foundation Works : (Excavation ,Providing and Laying Reinforced Cement Concrete (M - 20)</t>
  </si>
  <si>
    <t>CV001.01.00</t>
  </si>
  <si>
    <t>CU.M.</t>
  </si>
  <si>
    <t xml:space="preserve">Supply and placing in position high strength deformed steel bars reinforcement (conforming to IS: 1786, Grade Fe 415) </t>
  </si>
  <si>
    <t>KG</t>
  </si>
  <si>
    <t>CV002.00.00</t>
  </si>
  <si>
    <t>Installations of DRS/DCU/MRS/Metering Skid/service regulator</t>
  </si>
  <si>
    <t>CV002.01.00</t>
  </si>
  <si>
    <t>DRS/DCU</t>
  </si>
  <si>
    <t>Cv002.02.00</t>
  </si>
  <si>
    <t>MRS / Metering Skids Providing,</t>
  </si>
  <si>
    <t>CV002.03.00</t>
  </si>
  <si>
    <t>Installation of Service regulator with canopy including all fittings with civil works</t>
  </si>
  <si>
    <t>CV003.00.00</t>
  </si>
  <si>
    <t>Installation of vale chambers :</t>
  </si>
  <si>
    <t>CV003.02.00</t>
  </si>
  <si>
    <t>RCC valve Chamber -size (LxW) - 1m x1m</t>
  </si>
  <si>
    <t>CV003.03.00</t>
  </si>
  <si>
    <t>RCC valve Chamber -size (LxW) - 1.5 m x1m</t>
  </si>
  <si>
    <t>CV003.04.00</t>
  </si>
  <si>
    <t>Brick  valve Chamber -size (LxW) - 1m x1m</t>
  </si>
  <si>
    <t>CV003.05.00</t>
  </si>
  <si>
    <t>Brick  valve Chamber -size (LxW) - 1.5 m x1m</t>
  </si>
  <si>
    <t>Part - IV (Marketing ) DMA</t>
  </si>
  <si>
    <t>DM001.01.00</t>
  </si>
  <si>
    <t>Domestic PNG connections</t>
  </si>
  <si>
    <t>the number of commercial / industrial registrations made, evaluation and facilitation of signing of GSA with customer along with collection of security deposit amount by DMA and realization of collected amount in GNGPL bank account duly certified by Engineer-in-Charge (EIC).</t>
  </si>
  <si>
    <t>contract closure and submission of all documents as per contract.</t>
  </si>
  <si>
    <t>DM001.02.00</t>
  </si>
  <si>
    <t>Commercial PNG connections</t>
  </si>
  <si>
    <t>PART -V (PENDING MDPE/LMC WORK DONE BY OTHER CONTRACTORS &amp; FABRICATION JOB</t>
  </si>
  <si>
    <t>A</t>
  </si>
  <si>
    <t>LMC SECTION (GI)</t>
  </si>
  <si>
    <t>A.01.01</t>
  </si>
  <si>
    <t xml:space="preserve">Charges for testing and commissioning of GI Riser work done by other contractor 1/2" , 3/4", 1"                                                                                                                                                                                                              </t>
  </si>
  <si>
    <t>B</t>
  </si>
  <si>
    <t xml:space="preserve">MDPE SECTION </t>
  </si>
  <si>
    <t>B.01.00</t>
  </si>
  <si>
    <t>Charges for rectification /Hookup of existing networks (Including all fittings),testing &amp; commissioning MDPE network.</t>
  </si>
  <si>
    <t>B.01.01</t>
  </si>
  <si>
    <t>Charges for testing and commissioning of MDPE work done by other contractor upto Dia 63 mm.</t>
  </si>
  <si>
    <t>B.01.02</t>
  </si>
  <si>
    <t>Charges for testing and commissioning of MDPE work done by other contractor above  Dia 63 mm.</t>
  </si>
  <si>
    <t>B.02.00</t>
  </si>
  <si>
    <t>RESTORATION</t>
  </si>
  <si>
    <t>B.02.01</t>
  </si>
  <si>
    <t>Restoration of Asphalted /Bituminous road</t>
  </si>
  <si>
    <t>after completion of restoration and certification by consultants / Third Party Inspection agency nominated by GNGPL.</t>
  </si>
  <si>
    <t>RM</t>
  </si>
  <si>
    <t>after obtaining NOC from respective local authorities / Third party agencies designated by land owning agencies / Resident Welfare Associations etc.</t>
  </si>
  <si>
    <t>after completion of all works and closure of purchase / work order.</t>
  </si>
  <si>
    <t>B.02.02</t>
  </si>
  <si>
    <t>Restoration of concrete pavement ,Agra/kota stone ?Tiles (Chequered/ointerlocking etc.).</t>
  </si>
  <si>
    <t>B.02.03</t>
  </si>
  <si>
    <t>Restoration pf Plain cement Concrete (PCC)</t>
  </si>
  <si>
    <t>B.02.04</t>
  </si>
  <si>
    <t>Restoration of Dry Brick pavement</t>
  </si>
  <si>
    <t>B.03.00</t>
  </si>
  <si>
    <t>LIASION</t>
  </si>
  <si>
    <t>B.03.01</t>
  </si>
  <si>
    <t>Liasion with authorities like NHAI ,railway ,PWD etc. and getting permission for laying of MDPE pipeline .Payment shall be made only if permission is received from authority.</t>
  </si>
  <si>
    <t>B.03.02</t>
  </si>
  <si>
    <t>Liasion with local authority during the construction work and payment shall mbe made as per actual length of pipe laid.</t>
  </si>
  <si>
    <t>B.04.00</t>
  </si>
  <si>
    <t>MDPE Service line laying in old Projects /O &amp; M areas</t>
  </si>
  <si>
    <t>C.01.00</t>
  </si>
  <si>
    <t>COMMERCIAL/NON DOMESTIC CONNECTION</t>
  </si>
  <si>
    <t>BASIC AMOUNT</t>
  </si>
  <si>
    <t>GST AMOUNT ( 18%)</t>
  </si>
  <si>
    <t>TOTAL AMOUNT</t>
  </si>
  <si>
    <t>RA- 01</t>
  </si>
  <si>
    <t>Qty</t>
  </si>
  <si>
    <t>Amount</t>
  </si>
  <si>
    <t>RA- 02</t>
  </si>
  <si>
    <t>Balance Qty</t>
  </si>
  <si>
    <t>Item NO.</t>
  </si>
  <si>
    <t>Unit Rate</t>
  </si>
  <si>
    <t>Unit</t>
  </si>
  <si>
    <t>Quantity</t>
  </si>
  <si>
    <t xml:space="preserve">For HDD </t>
  </si>
  <si>
    <t>PART-I : PE SECTION</t>
  </si>
  <si>
    <t>Calculated Rate</t>
  </si>
  <si>
    <t>Adopted Rate</t>
  </si>
  <si>
    <t>Route survey of allotted areas and Preparation /Submission of detailed route plan for approval by EIC in AutoCAD format. Receiving, handling, loading, transportation and unloading of owner supplied MDPE pipes and other free issue items from GNGPL's designated stock yards to Contractor's own stock-yards/ work-sites. Proper storing, stacking, identification, providing security and insurance cover for the materials. Procurement / Supply and Installation of PE Fittings, PE Valves, Transition Fittings, Warning Mats, HDPE casing Pipes, Half concrete sleeves and all other items required for execution shall also be in Contractor's scope.  Liaisoning with Landowning agencies / statutory authorities and obtaining permission from them  making trial pits to determine the underground utilities/ services etc., restoration of the abandoned excavation/ trial pits (excavated to depth of 1.5 m or more as per satisfaction to EIC) to original condition, barricading the work area as per the procedures &amp; drawings provided in the tender and as per the directions of EIC / Site-in-charge; uncoiling / stringing  of  pipes, jointing of  the  pipe ends/  fittings (Isolation Valve 1/2" &amp; 3/4") / Transition fittings/ valves by qualified personnel, using approved electro fusion techniques as per specification. Installation of PE Valve shall be done as per PNGRB guideline and Instructions of EIC.</t>
  </si>
  <si>
    <t xml:space="preserve">Trenching of normal soil / Morrum (red soil)/ Malva / Multiple layer of Bitumen road,  hard rock/  boulders  using manual/pneumatic chisel and disposal of excess soil/boulders/rock etc. is in the scope of contractor and the same is to be considered by the contractor.    </t>
  </si>
  <si>
    <t xml:space="preserve">Submission of applications as per approved drawings provided by owner / owner's representative (Initial Route Survey, Preperation of Drawings, measuring and providing details of surface type shall be in scope of Contractor with approval from Owner / Owner's representative), obtaining &amp; submission of demand note, Coordination, Liaisoning, Obtaining written permissions  from  Land  owing  agencies like  private road/ apartment road, municipal corporations,  PWD, NHAI, AAI, Forest Dept., Indian  Railways and  any other government/ private agencies who maintains the public lands. including liasioning during execution of work and obtaining NOC from the applicable authorities.  NOte :SOR 3.000 PART V TO BE REFERRED. </t>
  </si>
  <si>
    <t>Compliance to TS4,construction safety of MDPE Section-PPE, Continuous hard Barricades along the trenches as per approved drawing in tender, Use of Gum Boots, Hand gloves, Reflective jackets, Hard hats (helmets), Safety shoes, eye and ear safety equipment's, Fire extinguishers and as per the detailed scope of work in tender specifications.</t>
  </si>
  <si>
    <t>All service line as required shall be laid within this SOR and no extra  payment shall be made for service line in any other SOR line item.</t>
  </si>
  <si>
    <t>Supply &amp; installation of Gl Sleeves, 2.5" NB x 300 mm length GI pipe Sleeve / Half Round Concrete Sleeves for domestic connections, 3" NB x 300 mm length Gl Sleeve for commercial and industrial installations (as per GI  Pipe Sleeve Drg No 1007-10-03--18), and  1/2 Round concrete sleeve, Drg No 1007- 10-03--33) excavation, breaking through any obstructions, insertion of pipe, sealing the annulus, fixing of the sleeves with concrete mix, preparation of pedestal &amp; restoration of excavated pits within the size of pedestal &amp; the same pit with the laying of 20/32 mm dia MDPE pipe as defined in technical specification and instruction of ElC.</t>
  </si>
  <si>
    <t>Restoration to original conditions of dismantled surface like Asphalted/Bituminous Road, Concrete Pavement, Agra /Kota Stones / Tiles (Chequered/interlocking etc.), Dry Brick Pavement as per the technical specifications attached in the tender after laying of pipeline in Built- Up surface, as per the directions of EIC / Site lncharge. Scope includes supply of the approved quality material, testing of materials by third party agencies as per technical specification / CPWD /  IRC Standards, submission of the restoration reports, obtaining no objection certificates from the concern local authorities /land  owners / third party inspection agencies designated by land owing agencies and Owner. Note: SOR 2.000 PART V TO BE REFERRED.</t>
  </si>
  <si>
    <t>Flushing, cleaning ,Pneumatic testing, purging with nitrogen and commissioning as per specification and approved procedures providing all tools and tackles, nitrogen, instruments, manpower and other related accessories including PPE and as per  instructions of the Engineer-in charge.</t>
  </si>
  <si>
    <t>Maintaining the completed pipelines/ installation for any defect, failures during defect liability period.</t>
  </si>
  <si>
    <t>Handing over the completed works to GNGPL for their operation/ use, returning of all surplus material to GNGPL stores, reconciliation of free issue material area wise and obtaining no objection certificate.</t>
  </si>
  <si>
    <t>On completion of gas charging of pipelines, preparation and submission of As built drawings, As graph drawings, crossings details, termination, utility graphs and deviation statements with Hard &amp; Soft copy.</t>
  </si>
  <si>
    <t>Submission of all documents required for contract closure in numbers as mentioned in contract.</t>
  </si>
  <si>
    <t>Laying of  MDPE pipeline, with or without casing, in case if existing dedicated trench of approx. size 400mm x 600mm is already provided with removable top cover; Scope includes removal of precast RCC slab covers from channel, laying of pipeline, jointing, testing, sand filling (including supply) refixing top cover of pipe trench.</t>
  </si>
  <si>
    <t>In case 2 MDPE pipelines are laid in a common trench, SOR rate of higher dia plus 1/3 (0.333) x SOR rate of lower dia will be paid</t>
  </si>
  <si>
    <t xml:space="preserve">Note: Supply &amp; Installation of GI Sleeve 1/2 round concrete sleeve &amp; warning mat (Open trench excavation) shall be included in laying of MDPE Pipe. </t>
  </si>
  <si>
    <t>MDPE Pipe line laying by HDD Method, with or Without casing (Including supply &amp; installation of HDPE Casing Pipes)</t>
  </si>
  <si>
    <t>Laying of 125 mm Dia MDPE by HDD method in all type of soil strata including hard rock strata without casing.</t>
  </si>
  <si>
    <t>Laying of 125 mm Dia MDPE by HDD method in all type of soil strata including hard rock strata with casing.</t>
  </si>
  <si>
    <t xml:space="preserve">Excavation of hard rock </t>
  </si>
  <si>
    <t xml:space="preserve">Trenching of Hard Rock is defined as trench material with a single piece of rock, dimension exceeding 1.0 meter in any direction, which requires cutting only by use of manual/pneumatic chisel/drill or sledge hammer and chisel or removal of same by additional techniques. The disposal of excess rock as per the requirement of authorities. The rates are payable over and above the Laying rates as per relevant SOR item no. - PL000.01.00. </t>
  </si>
  <si>
    <t>Excavation of Hard Rock.</t>
  </si>
  <si>
    <t>CUM</t>
  </si>
  <si>
    <t>Fabrication &amp; Installation of Pipeline Markers:</t>
  </si>
  <si>
    <t>Supply and Installation of Stone Route Markers, Powder Coated Plate / Pole Markers as per the attached drawings, along the route / along boundary wall, lamp posts including all associated civil works such as excavation and construction in all types of soils, construction of pedestals of RCC and PCC and grouting with concrete, cleaning, supply and application of approved colour and quality of primer and paint, stencil letter cutting of numbers, direction, chainage etc., restoration of area to original condition and performing all works as per drawings, specification and instruction of Engineer-in-Charge. The rates shall include liaison rates with statutory bodies and restoration rates and no separate rates are payable under this SOR.</t>
  </si>
  <si>
    <t>RCC Route Markers as per Drg No 1007-10-03--29 as per instruction of EIC and specifications.</t>
  </si>
  <si>
    <t>Pole markers with foundation as per Drawing No. Drg No 1007-10-03-30 &amp; 1007-10-03-31 and instructions of EIC  and specification</t>
  </si>
  <si>
    <t>Plate marker as per Drg No Drg No 1007-10-03--28 at house as per instruction of EIC and specifications.</t>
  </si>
  <si>
    <t>PART II : GI / COPPER SECTION</t>
  </si>
  <si>
    <t>Supply &amp; Installation of Powder Coated GI Pipe &amp; Fittings</t>
  </si>
  <si>
    <t>Assessment of material requirement for installation at site, Order placement and Purchasing of Powder coated Gl Pipes, GI fittings, Copper pipes &amp; fittings, Brass Fittings, Isolation Valves &amp; appliance  valves from approved vendors of GNGPL, Scheduling, Planning of material &amp; Forwarding inspection  call, getting dispatch  clearance, handling,  loading, transportation  and  unloading of  these items at respective contractor's store. Receiving, taking over, handling, loading, transportation and  unloading of owner supplied above ground  fittings such  as  regulators, meters and free issue items (if any other) as defined in specification  from  Owner's   designated  stock  yards  to  Contractor's   own  stores /  work  sites,  proper  storing,  stacking, identification, providing security and insurance cover. Preparation and approval of sketches, schedules &amp; execution procedures. Finalising optimum route with consent of customer from transition fitting to cooking oven / appliance and ensuring installations in well ventilated area. Making temporary but stable platforms/ scaffolding/ rope ladders and supply of all other safety devices. Portal entry for new connections - New registration tracking and feasibility survey and its updation as per  GNGPL defined TAT; printing of stationary as per approved GNGPL formats required during connections. Follow-up and attend complaints receives from customer regarding delay in new connection &amp; NG conversion (ReferDrg No 1007-10-03-01, 02, 03)</t>
  </si>
  <si>
    <t>Installation of GI service pipes &amp; fittings, regulators, Valves etc. including NPT threading, as specified, Drillings of holes through the walls (Brick, RCC), Granite, Marble, Wood Cutting, Glass Cutting with proper heavy duty hammer drill machine, tools &amp; tackles, using proper sealant/ grout material and colours to match the original replacement of the damages during drilling, restoring the area to the original condition, Painting of scratched length of powder coated pipe and fittings after proper surface finish by one coat of approved primer paint and two coats of approved synthetic enamel paint. Restoring the wall surface to original conditions.</t>
  </si>
  <si>
    <t>Copper tube shall be installed from the downstream of meter up to the isolation valve before the customer appliance as per requirement and the satisfaction of EIC, the contractor to provide all equipment, tools and materials necessary to execute the work in efficient manner by cutting, cleaning, flux application, soldering and lacquering. The work includes supply of tools, tackles and consumables including clamp for fixing the tubes.</t>
  </si>
  <si>
    <t>VIJAY SALES CORPORATION
PRICE LIST FOR JINDAL STAR W.E.F.: 11/03/2022</t>
  </si>
  <si>
    <t>Discount @ 40%</t>
  </si>
  <si>
    <t>Fittings</t>
  </si>
  <si>
    <t>Sum</t>
  </si>
  <si>
    <t>Freight</t>
  </si>
  <si>
    <t>OHPM</t>
  </si>
  <si>
    <t>Quantity as communicated by PM (Jitender Sir)</t>
  </si>
  <si>
    <t>Supply Rate</t>
  </si>
  <si>
    <t>Installation Rate</t>
  </si>
  <si>
    <t xml:space="preserve">Supply </t>
  </si>
  <si>
    <t>metre</t>
  </si>
  <si>
    <t>PNG CONNECTIONS IN PROJECT AREA</t>
  </si>
  <si>
    <t>12 mm Copper Pipe</t>
  </si>
  <si>
    <t>LMC</t>
  </si>
  <si>
    <t>Testing and conversion of Domestic Appliances in Project &amp; O&amp;M area:</t>
  </si>
  <si>
    <t>Conversions of all types of LPG Kitchen appliances to NG based appliances, Supply &amp; changing of the nozzles / jets and associated controls for domestic &amp; imported appliances with proper tools and tackles. The rates include testing of Kitchen piping  from meter to Appliance valve and supply and  fixing of one steel reinforced rubber hose (1.5 m) per appliance/stove with clamps. Cleaning and  performing minor maintenance, greasing etc. of  the appliance. Testing and showing the performance to the customer, signing of joint meter records (JMR) and instructing the customer on use &amp; safety norms, complete as per specifications &amp; to satisfaction of owner / Engineer in Charge. This SOR is applicable for left out NG conversions by other contractor or as per the instructions of EIC.</t>
  </si>
  <si>
    <t>PART -III : Civil Works</t>
  </si>
  <si>
    <t xml:space="preserve">Supply and placing in position high strength deformed steel bars reinforcement  (conforming to IS: 1786, Grade Fe 415) for RCC work including transporting, straightening, cleaning, de-coiling, cutting &amp; binding to required shapes and length as per details, binding with contractor's own 16 SWG black soft annealed binding wire at every intersection, supplying and placing with proper cover blocks, supports, chairs, overlaps, welding, spacers, fan hooks etc. for all heights and depths etc. complete the work as directed.                                                                                                                                                                                                                                       Note :
1. Rate to include cost of all labour, tools, tackles, equipment, hire charges, supply of all materials such as steel Reinforcement, binding wire and other minor construction materials, testing etc.  all bye works and sundry works. </t>
  </si>
  <si>
    <t>DRS / DCU</t>
  </si>
  <si>
    <t xml:space="preserve">MRS / Metering Skids  Providing, fabricating and installation of Metering, regulating system for natural gas supply to various industrial customers with 32mm (1.5") Carbon Steel pipe along with all the fittings having pressure regulation up to 2.0 bar and diaphragm/RPD meter of various range (G-10 to G-25). The installation shall be done as per the Drg no.- 14588-30-05-22 given as annexure. Item includes supply of all the materials such as valves, strainer, reducers or other Fittings and clamps etc required as per the scheme except Meter and Pressure Regulator which shall be supplied by GNGPL. However, installation Meter and Regulator shall also include in the scope of this item.  CS pipe shall confirm to ASTM A106 Gr B 150# and fittings shall confirm to ASTM A105, welding Radiography nad testing of pipes &amp; fittings, shall be carried out as per applicable welding code. All the pipes shall be painted with min 02 coat of kennary yellow synthetic paint over a coat of steel primer. The receiving and transportation of free issue material such as Meter and Regulator from GNGPL store to site is in the scope of this item. 
Note. - The above rates include supply of all materials such as all valves, pipe and fittings etc. No further payment shall be given separately for any supply item.
</t>
  </si>
  <si>
    <t>Installation of Service Regulator with canopy including all fittings with Civil work</t>
  </si>
  <si>
    <t>Installation of  Valve Chambers:</t>
  </si>
  <si>
    <t>All civil  works including supply of materials, excavation  of pit, piping supports  including all PCC, RCC and Brick works for valve  pits, sand filling to cover valve body and pits, pedestals  with  insert  plates  as  required,  sealing  of  pipes in  pits,  providing  cover  etc.,  finishing,  clean  up and restoration. The  work shall be executed as per specification. Also providing water proofing agents internal and external plaster of chamber to avoid water seepage. Refer Drg No 1007- 10-03--19, 20, 21 &amp; 22.)</t>
  </si>
  <si>
    <t>Required Size</t>
  </si>
  <si>
    <t>RCC Valve Chambers- Size (L x W)- 1.5m x 1 m</t>
  </si>
  <si>
    <t>Brick Valve Chambers- Size (L x W)- 1 m x 1 m</t>
  </si>
  <si>
    <t>Factor between RCC and brick</t>
  </si>
  <si>
    <t>Brick Valve Chambers- Size (L x W)- 1.5m x 1 m</t>
  </si>
  <si>
    <t>PART -IV (Marketing) DMA</t>
  </si>
  <si>
    <t>Carrying out the work of obtaining PNG registration in all respect as detailed in Scope of work and Special Conditions of contract and as per directions/instructions of Engineer In charge /Authorized representative including but not limited to following : 
1) Enrolment &amp; Registration of PNG Customers as per the given target.
2) Collection of  filled up form along with Security  Deposit amount (only in the form of cheque/Demand Draft/ Online mode) and relevant documents. 
3) Carrying out the work of demand registration, evaluation, facilitation of signing of GSA and collection of security deposit and payment against payment security as detailed in scope of work and special condition of contract of tender document as per requirement and the satisfaction of the EIC for industrial and commercial customers.
4) Carrying out the marketing activities for PNG connection as per directions/instructions of the EIC including but not limited  to  the  following:  Printing &amp; Distribution of  leaflets &amp;  FAQ,  Printing &amp; Installation  of  banners at prime  locations, Awareness cum Registration Camp, Audio/Visual Presentations, Organizing Road Shows, etc.</t>
  </si>
  <si>
    <t>Domestic PNG Connections</t>
  </si>
  <si>
    <t>Commercial PNG Connections</t>
  </si>
  <si>
    <t>PART -V (PENDING MDPE/LMC WORK DONE BY OTHER CONTRACTORS &amp; FABRICATION JOB.</t>
  </si>
  <si>
    <t>MDPE SECTION</t>
  </si>
  <si>
    <t xml:space="preserve">Charges for Rectification/Hookup of existinhg networks ( Including all fittings), testing &amp; commissioning MDPE network. </t>
  </si>
  <si>
    <t>Restoration to original conditions of dismantled surface like Asphalted/Bituminous Road, Concrete Pavement, Agra /Kota Stones / Tiles (Chequered/interlocking etc.), Dry Brick Pavement as per the technical specifications attached in the tender after laying of pipeline in Built- Up surface, as per the directions of EIC / Site incharge. Scope includes supply of the approved quality material, testing of materials by third party agencies as per technical specification / CPWD /  IRC Standards, submission of the restoration reports, obtaining no objection certificates from the concerned local authorities /land  owners / third party inspection agencies designated by land owing agencies and owners.</t>
  </si>
  <si>
    <t>Restoration of Asphalted/Bituminous Road</t>
  </si>
  <si>
    <t>Restoration Of Concrete Pavement,Agra / Kota Stone/Tiles (chequered/ Ointerlocking etc.)</t>
  </si>
  <si>
    <t>Restoration of Plain cement concrete (PCC)</t>
  </si>
  <si>
    <t>Restoration of Dry Brick Pavement</t>
  </si>
  <si>
    <t xml:space="preserve">COMMERCIAL/NON DOMESTIC CONNECTION </t>
  </si>
  <si>
    <t xml:space="preserve">Non Destructive Testing (NDT) for  regulator inlet piece for I&amp;C Connections per installation   </t>
  </si>
  <si>
    <t>Notes:
1) The SOR items would be executed as per the job requirement.
2)  The scope as mentioned in the above SOR is of indicative nature only and shall include all activities as detailed in the relevant clauses of the specifications.
3)  Any other material &amp; activities not mentioned/covered above, but otherwise required for satisfactory completion/safety of work as defined in tender has to be supplied / done by contractor at no extra cost to owner.
4) Prices quoted in column shall be all inclusive of all taxes / duties (excluding GST) and nothing extra shall be payable  by the Owner except  for statutory variation  in GST. 
5)  The quantities mentioned in SOR are tentative only and for the purpose of evaluation and may vary as per the actual site condition.
6) The SOR shall be read along with the relevant clauses of tender document</t>
  </si>
  <si>
    <t>Total Cost (Excluding GST)</t>
  </si>
  <si>
    <t>GST @18%</t>
  </si>
  <si>
    <t>Grand Total (Including GST)</t>
  </si>
  <si>
    <t>Equipment Foundation works: (Excavation, Providing  and Laying Reinforced  Cement Concrete (M-20)</t>
  </si>
  <si>
    <t>Excavation in any plane &amp; dimension including disposal of excavated earth up to any lead in all conditions, backfilling using serviceable earth and disposal of surplus and unserviceable earth. Soil to be levelled and properly compacted complete in all respect as per scope of work, technical specification and directions of EIC. Providing and laying REINFORCED CEMENT CONCRETE OF M-20 Grade (Concrete shall be design mix / nominal mix) with 20mm &amp; down size graded crushed stone aggregates in NON SUSPENDED  slabs/pavement slabs including pedestals, ramps etc., laying in alternate panels to required slopes, all necessary form work and finishing the top surface rough or smooth as required and directed, providing pockets/openings etc.  including vibrating, tampering, curing,  rendering and  making smooth  if  required  in  any position, shape, level and thickness etc. as specified and directed by EIC. The rates include grouting of pockets, supply of material, shuttering, tools &amp; tackles, Reinforcement etc.</t>
  </si>
  <si>
    <t>RCC Valve Chambers- Size (L x W)-  1m x 1m</t>
  </si>
  <si>
    <t>Charges for testing &amp; commissioning of MDPE  work done by other contractor upto Dia 63 mm</t>
  </si>
  <si>
    <t>Charges for testing &amp; commissioning of MDPE  work done by other contractor above Dia 63 mm</t>
  </si>
  <si>
    <r>
      <t>Laying using any method (Open trench &amp; Moling/ HDD) with or without casing; it includes survey of the under ground utilities, execution of the work as per specification (as per trench dimension Drg -attached in  tender), including excavation of pits, moling with  hole size not exceeding</t>
    </r>
    <r>
      <rPr>
        <b/>
        <sz val="16"/>
        <rFont val="Times New Roman"/>
        <family val="1"/>
      </rPr>
      <t xml:space="preserve"> 20%</t>
    </r>
    <r>
      <rPr>
        <sz val="16"/>
        <rFont val="Times New Roman"/>
        <family val="1"/>
      </rPr>
      <t xml:space="preserve"> of the the carrier / casing pipe dia. jointing and insertion of the carrier pipe in casing pipe (on case to case basis) and subsequent padding with soft soil, laying of warning mat in open trench only, backfilling, compaction, submission of as built drawing, as graphs as per attached specification and  instruction of ElC / Site Engineer of Owner. Includes laying of pipeline in all type of surface  including Kutcha, metal, concrete (PCC/RCC), bituminous, tiled, brick lined etc. after raking up of hard surface of any type; Roads, Pavement, Footpaths etc. shall be made motorable once the pipeline is laid.</t>
    </r>
  </si>
  <si>
    <r>
      <t xml:space="preserve">Any other activities not mentioned / covered explicitly above, but otherwise required for satisfactory completion / operation / safety / statutory / maintenance of the works shall also be covered under the scope of work and has to be completed by Contractor within specified schedule at no extra cost to Owner. All the work shall be executed in accordance with the provision of contract.
 </t>
    </r>
    <r>
      <rPr>
        <b/>
        <sz val="16"/>
        <rFont val="Times New Roman"/>
        <family val="1"/>
      </rPr>
      <t>Commissioning or Gas Charging of MDPE pipeline of any size shall be paid as per seperate SOR Item mentioned.</t>
    </r>
  </si>
  <si>
    <r>
      <t xml:space="preserve">Survey of the under ground  utilities, submission  of HDD profile for approval (excluding road and nala crossings),  execution of the work as per the standard procedure attached,  including  excavation  of  the  pits, Jointing  of casing and carrier pipe and  insertion  of  the carrier  pipe in casing of dia ranging from 120mm to 180mm for 90 mm &amp; 200mm to 250 mm dia for 125 mm dia MDPE , subsequent sealing, backfilling, compaction, submission  of as built graphs, final HDD profiles as per attached specification  and the instruction  of EIC / Site Engineer of Owner. The other activities are as per SOR Item No. I  and as detailed  in specification  and as per the instructions of the EIC / Site engineer of Owner. The supply of casing pipe shall bein the scope of contractor.
The payment shall be made for length of casing pipe laid in HDD, remaining carrier pipe length without casing shall be paid under SOR item no.1
</t>
    </r>
    <r>
      <rPr>
        <b/>
        <sz val="16"/>
        <rFont val="Times New Roman"/>
        <family val="1"/>
      </rPr>
      <t>Commissioning or Gas Charging of MDPE pipeline of any size shall be paid as per seperate SOR Item mentioned.</t>
    </r>
  </si>
  <si>
    <r>
      <t xml:space="preserve">Supply &amp; fixing of approved clamps &amp; nylon rawl plugs with SS-304, 2" screws, grout material, suitable thread sealant i.e. Teflon Tape, Joining of transition fitting to above ground service GI pipes, testing, purging and commission of the complete installation. The rates in connections also includes meter installation, tap off rates. The GI installation in already gas charged areas, planning &amp; coordinating with existing consumer's for New tap offs from existing riser with or without tee, testing of these existing risers and commissioning of these connections with newly tapp offs etc.is inclusive. </t>
    </r>
    <r>
      <rPr>
        <b/>
        <sz val="16"/>
        <rFont val="Times New Roman"/>
        <family val="1"/>
      </rPr>
      <t xml:space="preserve">
Payment against the commissioning of GI pipe shall be made as per seperate SOR mentioned.</t>
    </r>
    <r>
      <rPr>
        <sz val="16"/>
        <rFont val="Times New Roman"/>
        <family val="1"/>
      </rPr>
      <t xml:space="preserve">
</t>
    </r>
  </si>
  <si>
    <r>
      <rPr>
        <b/>
        <sz val="16"/>
        <rFont val="Times New Roman"/>
        <family val="1"/>
      </rPr>
      <t>Note:</t>
    </r>
    <r>
      <rPr>
        <sz val="16"/>
        <rFont val="Times New Roman"/>
        <family val="1"/>
      </rPr>
      <t xml:space="preserve"> 
1. GI, Cu, brass fittings shall not be counted separately. It shall be measured along with GI &amp; Cu pipe.
2. If Cumulative length of GI &amp; Cu increases specified lengths in connection rate SOR no. 
PL000.07.01 and PL000.07.02, extra piping shall be paid considering installation as done in Flats or bungalows as per SOR item no.: PL000.08.00.</t>
    </r>
  </si>
  <si>
    <t>32 mm Dia</t>
  </si>
  <si>
    <t>20 mm Dia</t>
  </si>
  <si>
    <t>Laying of 63 mm Dia MDPE by HDD method in all type of soil strata including hard rock strata without casing.</t>
  </si>
  <si>
    <t>Laying of 90 mm Dia MDPE by HDD method in all type of soil strata including hard rock strata without casing.</t>
  </si>
  <si>
    <t>Laying of 63 mm Dia MDPE by HDD method in all type of soil strata including hard rock strata with casing.</t>
  </si>
  <si>
    <t>Laying of 90 mm Dia MDPE by HDD method in all type of soil strata including hard rock strata with casing.</t>
  </si>
  <si>
    <t>Cu installations for pipes more than 2 m per connection</t>
  </si>
  <si>
    <t>A.0.01</t>
  </si>
  <si>
    <t>A.0.02</t>
  </si>
  <si>
    <t>A.0.03</t>
  </si>
  <si>
    <t>A.0.04</t>
  </si>
  <si>
    <t>A.0.05</t>
  </si>
  <si>
    <t>MDPE Pipe line laying in all type of surface, (Katcha surface/ Normal Surface/Hard surface) by Trenching Method</t>
  </si>
  <si>
    <t>B.0.00</t>
  </si>
  <si>
    <t>A.0.00</t>
  </si>
  <si>
    <t>B.0.01</t>
  </si>
  <si>
    <t>B.0.02</t>
  </si>
  <si>
    <t>B.0.03</t>
  </si>
  <si>
    <t>C.0.00</t>
  </si>
  <si>
    <t>C.0.01</t>
  </si>
  <si>
    <t>D.0.00</t>
  </si>
  <si>
    <t>D.0.01</t>
  </si>
  <si>
    <t>D.0.02</t>
  </si>
  <si>
    <t>A.1.00</t>
  </si>
  <si>
    <t>A.1.01</t>
  </si>
  <si>
    <t>A.1.02</t>
  </si>
  <si>
    <t>A.1.03</t>
  </si>
  <si>
    <t>A.1.04</t>
  </si>
  <si>
    <t>A.1.05</t>
  </si>
  <si>
    <t>A.1.06</t>
  </si>
  <si>
    <t>A.2.00</t>
  </si>
  <si>
    <t>A.2.01</t>
  </si>
  <si>
    <t>A.3.00</t>
  </si>
  <si>
    <t>A.3.01</t>
  </si>
  <si>
    <t>A.3.02</t>
  </si>
  <si>
    <t>A.3.03</t>
  </si>
  <si>
    <t>B.1.00</t>
  </si>
  <si>
    <t>B.1.01</t>
  </si>
  <si>
    <t>B.1.02</t>
  </si>
  <si>
    <t>B.2.00</t>
  </si>
  <si>
    <t>B.2.01</t>
  </si>
  <si>
    <t>B.3.00</t>
  </si>
  <si>
    <t>B.3.01</t>
  </si>
  <si>
    <t>B.4.00</t>
  </si>
  <si>
    <t>B.4.01</t>
  </si>
  <si>
    <t>C.0.02</t>
  </si>
  <si>
    <t>C.1.00</t>
  </si>
  <si>
    <t>C.1.01</t>
  </si>
  <si>
    <t>C.1.02</t>
  </si>
  <si>
    <t>C.1.03</t>
  </si>
  <si>
    <t>E.0.00</t>
  </si>
  <si>
    <t>E.0.01</t>
  </si>
  <si>
    <t>E.1.00</t>
  </si>
  <si>
    <t>E.1.01</t>
  </si>
  <si>
    <t>E.1.02</t>
  </si>
  <si>
    <t>C.2.00</t>
  </si>
  <si>
    <t>C.2.01</t>
  </si>
  <si>
    <t>C.2.02</t>
  </si>
  <si>
    <t>C.2.03</t>
  </si>
  <si>
    <t>C.2.04</t>
  </si>
  <si>
    <t>E.2.00</t>
  </si>
  <si>
    <t>E.2.01</t>
  </si>
  <si>
    <t>E.2.02</t>
  </si>
  <si>
    <t>E.2.03</t>
  </si>
  <si>
    <t>E.2.04</t>
  </si>
  <si>
    <t>GI 1/2"</t>
  </si>
  <si>
    <t>AV 1/2"</t>
  </si>
  <si>
    <t>Copper</t>
  </si>
  <si>
    <t xml:space="preserve">Meter </t>
  </si>
  <si>
    <t>House Pipe &amp; Concersion</t>
  </si>
  <si>
    <t>Labour Cost</t>
  </si>
  <si>
    <t>Total Material Cost</t>
  </si>
  <si>
    <t xml:space="preserve">Total  </t>
  </si>
  <si>
    <t>Total</t>
  </si>
  <si>
    <t>As per Old tender</t>
  </si>
  <si>
    <t>Maximum Amount</t>
  </si>
  <si>
    <t>GI Work</t>
  </si>
  <si>
    <t>METER INSTALLATION</t>
  </si>
  <si>
    <t>PNG CONNECTIONS IN O&amp;M AREA (ON EXISTING RISER OR GASIFIDE AREA)</t>
  </si>
  <si>
    <t>Installations of DRS/DCU/MRS/ Metering Skid / Wall mounted skid</t>
  </si>
  <si>
    <t>Receiving, handling, loading, transportation and unloading of owner supplied DRS/MRS/ Metering Skid/ wall mounted skid  from Owner's designated stock yards to Contractor's own stock-yards/ work-sites. Proper storing, stacking, identification, providing security and insurance cover for the materials. Supply of cover box for service regulator is in the scope of contractor.
Installations of DRS/MRS/ Metering Skid/ service regulator with all associated work  at foundation and hooking up with PE pipe line.The scope includes supply of transition fittings and other PE and CS fittings as per requirements and various associated works (including steel welding, if required) to commission DRS/MRS/Metering Skid/wall Mounted skid. Payment towards civil foundation work &amp; structural work  for gate and fencing shall be payable as per relevant SOR items.</t>
  </si>
  <si>
    <t>Testing and conversion of Domestic Appliances  in Project and O&amp;M area: (NG Conversion per Connection)</t>
  </si>
  <si>
    <t>IV1/2"</t>
  </si>
  <si>
    <t>Installation of gas meter,regulator, supply and installation of meter inlet pipe Welded ( Electrical Resistance Welded (ERW) Galvanized Iron (GI) pipes of Heavy class ). Scope of work under pertaining  to Commercial /Non Domestic connections . Scope includes  Supply and installation of box / enclosure/Meter Bracket (for Gas meter and regulator ), Strainer &amp; Meter Connector . Supply and installation of safety sign boards as per ‘Technical requirements . This SOR is for meter fixation with riser regulator.</t>
  </si>
  <si>
    <t>10% over head</t>
  </si>
  <si>
    <t>MDPE Service Line laying in old Projects / O&amp;M areas</t>
  </si>
  <si>
    <t>MDPE Service Line laying in old Projects / O&amp;M areas Includes laying of pipeline (for 20 &amp; 32mm) in all type of surface i.e., Kutcha, metal, concrete (PCC/RCC), bituminous, tiled, brick lined etc. after racking up of hard surface of any type by any methodology. Roads, Pavement, Footpaths etc. shall be made motorable once the pipeline is laid. Supply &amp; installation of GI Sleeve / Half round Concrete sleeve shall be included in laying rates.(Upto 4 Mtr.)
For Extra length as other than 4 mtr. are considered in normal laying. ( NOte : Refereed SOR Item Part I Item No PL000.01.01 )</t>
  </si>
  <si>
    <t>No's</t>
  </si>
  <si>
    <t>Liasioning with Land Owning Agencies for Permission</t>
  </si>
  <si>
    <t>Surveying of route and detours required at the time of execution,preparation of construction drawings showing survey details and submit same to GNGPL/PMC for review/approval.</t>
  </si>
  <si>
    <t>GPS Co-ordinate to be taken of laid PE pipeline and GPS instrument to be in Contractors scope.</t>
  </si>
  <si>
    <t>Submission of applications as per approved drawings provided by owner / owner's representative (Initial Route Survey, Preparation of Drawings, measuring and providing details of surface type shall be in scope of Contractor with approval from Owner / Owner's representative), obtaining &amp; submission of demand note, Coordination, Liaisoning, Obtaining written permissions  from  Land  owing  agencies like  private road/ apartment road, municipal corporations,  PWD, NHAI, AAI, Forest Dept., Indian  Railways and  any other government/ private agencies who maintains the public lands. including liasioning during execution of work and obtaining NOC from the applicable authorities on completion of work.</t>
  </si>
  <si>
    <t>From BGL</t>
  </si>
  <si>
    <t>Supply &amp; Installation of powder coated 1/2" Gl Riser from TF to lateral isolation valve up to G+4 Apt and Individual kothi/ Bungalow. Refer Drg No.: 1007-10-03-02)</t>
  </si>
  <si>
    <t>Supply &amp; Installation of powder coated 3/4" Gl Riser from TF to lateral isolation valve above G+4 Apt and Individual kothi/ Bungalow. Refer Drg No.: 1007-10-03-02)</t>
  </si>
  <si>
    <t>Supply &amp; Installation of powder coated 1" Gl Riser from TF to lateral isolation valve above G+4 Apt and Individual kothi/ Bungalow. Refer Drg No.: 1007-10-03-02)</t>
  </si>
  <si>
    <t>From IGL</t>
  </si>
  <si>
    <t>Supply and installation from existing riser to appliance along with meter installation - Supply and installation from lateral isolation valve to appliance along with meter installation, supply of rubber hose with clamps and  conversion of burners- The cumulative length of  1/2 "GI within 2 m &amp; Cu within 2m  or (GI + Cu) within 4m after lateral isolation valve  up to appliance along with installation of meter .
Additional quantity above 4 Meters (GI + Cu) shall be payable only in case   cumulative length exceeds  4 m. Payment against additional length of (GI / Cu) shall be as per item 8 of SOR.</t>
  </si>
  <si>
    <r>
      <t xml:space="preserve">Supply and installation from lateral isolation valve to appliance along with meter installation </t>
    </r>
    <r>
      <rPr>
        <sz val="16"/>
        <rFont val="Times New Roman"/>
        <family val="1"/>
      </rPr>
      <t>- The cumulative length of  1/2 "GI within 2 m &amp; Cu within 2m  or (GI + Cu) within 4m after lateral isolation valve  up to appliance along with installation of meter, supply of rubber hose with clamps and  conversion of burner .  Additional quantity above 4 Meters (GI + Cu) shall be payable only in case cumulative length exceeds  4 m. Payment against additional length of (GI / Cu) shall be as per item 8 of SOR.</t>
    </r>
  </si>
  <si>
    <t xml:space="preserve">Pneumatic testing, purging with nitrogen &amp; Commissioning of already laid MDPE Pipe (PE 100, SDR 11) including supply of manpower, labour (to identify the leak / making the pits), jointing of fittings, its installation and manpower, labour (for making the pits) etc.  and submission of  final documents (Like: As-built etc) and tapping from main line/charged line is the scope of contractor. The supply of all kind of MDPE fitting including, padestal TF etc is covered under this  SOR. </t>
  </si>
  <si>
    <t>Charges for testing &amp; commissioning of GI Riser  work done by other contractor 1/2" ,3/4",1"                                                      
NOTE: It includes fitting, painting, PVC sleeves,Clamping if required is applicable and submission of drawing.</t>
  </si>
  <si>
    <t>Barricading to comply with HSSE</t>
  </si>
  <si>
    <t>Barricading of the trenches Cautionary Sign Boards and lighting arrangement shall be provided as per tender spec . The rates include barricading of trenches along with sign boards, lighting etc. and maintain the same till the back filling of the trench. Rates will be payable per metre of BARRICADING PROVIDED. If proper barricading is not provided, GNGPL will barricade the trenches at the risks and costs of the CONTRACTOR and  will levy penalty of twice the rate per unit for the relevant section of the pipeline apart from other actions as per contract.</t>
  </si>
  <si>
    <t>F.0.00</t>
  </si>
  <si>
    <t>F.1.00</t>
  </si>
  <si>
    <t>G.0.00</t>
  </si>
  <si>
    <t>G.1.00</t>
  </si>
  <si>
    <t>H.0.00</t>
  </si>
  <si>
    <t>H.1.00</t>
  </si>
  <si>
    <r>
      <t>SCHEDULE OF RATES (SOR)
RATE CONTRACT FOR MDPE LAYING, ABOVEGROUND GI INSTALLATIONS INCLUDING LAST MILE CONNECTIVITY &amp; DIRECT MARKETING SERVICES AT NORTH GOA-GA
 T</t>
    </r>
    <r>
      <rPr>
        <b/>
        <u/>
        <sz val="16"/>
        <rFont val="Verdana"/>
        <family val="2"/>
      </rPr>
      <t xml:space="preserve">ender No.: </t>
    </r>
  </si>
  <si>
    <r>
      <t>Trenching of Hard Rock is defined as trench material with a single piece of rock, dimension exceeding 1.0 meter in any direction, which requires cutting only by use of manual/pneumatic chisel/drill or sledge hammer and chisel or removal of same by additional techniques. The disposal of excess rock as per the requirement of authorities. The rates are payable over and above the Laying rates as per relevant SOR item no. -</t>
    </r>
    <r>
      <rPr>
        <sz val="16"/>
        <color rgb="FFFF0000"/>
        <rFont val="Times New Roman"/>
        <family val="1"/>
      </rPr>
      <t xml:space="preserve"> PL000.01.00. </t>
    </r>
  </si>
  <si>
    <t>Surveying of route and detours required at the time of execution, preparation of construction drawings showing survey details and submit same to GNGPL/PMC for review/approval.</t>
  </si>
  <si>
    <t>Compliance to T4S, construction safety of MDPE Section-PPE, Continuous hard Barricades along the trenches as per approved drawing in tender, Use of Gum Boots, Hand gloves, Reflective jackets, Hard hats (helmets), Safety shoes, eye and ear safety equipment's, Fire extinguishers and as per the detailed scope of work in tender specifications.</t>
  </si>
  <si>
    <r>
      <t xml:space="preserve">Supply &amp; installation of Gl Sleeves, 2.5" NB x 300 mm length GI pipe Sleeve / Half Round Concrete Sleeves for domestic connections, 3" NB x 300 mm length Gl Sleeve for commercial and industrial installations </t>
    </r>
    <r>
      <rPr>
        <sz val="16"/>
        <color rgb="FFFF0000"/>
        <rFont val="Times New Roman"/>
        <family val="1"/>
      </rPr>
      <t>(as per GI  Pipe Sleeve Drg - attached in tender)</t>
    </r>
    <r>
      <rPr>
        <sz val="16"/>
        <rFont val="Times New Roman"/>
        <family val="1"/>
      </rPr>
      <t xml:space="preserve">, and  1/2 Round concrete sleeve, </t>
    </r>
    <r>
      <rPr>
        <sz val="16"/>
        <color rgb="FFFF0000"/>
        <rFont val="Times New Roman"/>
        <family val="1"/>
      </rPr>
      <t>Drg- attached in tender</t>
    </r>
    <r>
      <rPr>
        <sz val="16"/>
        <rFont val="Times New Roman"/>
        <family val="1"/>
      </rPr>
      <t>) excavation, breaking through any obstructions, insertion of pipe, sealing the annulus, fixing of the sleeves with concrete mix, preparation of pedestal &amp; restoration of excavated pits within the size of pedestal &amp; the same pit with the laying of 20/32 mm dia MDPE pipe as defined in technical specification and instruction of ElC.</t>
    </r>
  </si>
  <si>
    <t>A.1.07</t>
  </si>
  <si>
    <t>RCC Route Markers as per Drg- attached in tender and as per instruction of EIC and specifications.</t>
  </si>
  <si>
    <t>Pole markers with foundation as per Drg- attached in tender and instructions of EIC  and specification</t>
  </si>
  <si>
    <t>Plate marker as per Drg Drg- attached in tender and as per instruction of EIC and specifications.</t>
  </si>
  <si>
    <t>Supply &amp; Installation of powder coated 1/2" Gl Riser from TF to lateral isolation valve up to G+4 Apt and Individual kothi/ Bungalow. Refer Drg- attached in tender)</t>
  </si>
  <si>
    <t>Supply &amp; Installation of powder coated 3/4" Gl Riser from TF to lateral isolation valve above G+4 Apt and Individual kothi/ Bungalow. Refer Drg- attached in tender)</t>
  </si>
  <si>
    <t>Supply &amp; Installation of powder coated 1" Gl Riser from TF to lateral isolation valve above G+4 Apt and Individual kothi/ Bungalow. Refer Drg- attached in tender)</t>
  </si>
  <si>
    <r>
      <rPr>
        <b/>
        <sz val="16"/>
        <rFont val="Times New Roman"/>
        <family val="1"/>
      </rPr>
      <t>Note:</t>
    </r>
    <r>
      <rPr>
        <sz val="16"/>
        <rFont val="Times New Roman"/>
        <family val="1"/>
      </rPr>
      <t xml:space="preserve"> 
1. GI, Cu, brass fittings shall not be counted separately. It shall be measured along with GI &amp; Cu pipe.
2. If Cumulative length of GI &amp; Cu increases specified lengths in connection rate SOR no. B.1.01 &amp; B.1.02, extra piping shall be paid considering installation as done in Flats or bungalows as per SOR item no.: B.0.00 &amp; B.2.00.</t>
    </r>
  </si>
  <si>
    <t xml:space="preserve">Core Cutting </t>
  </si>
  <si>
    <t xml:space="preserve">8" thickness </t>
  </si>
  <si>
    <t xml:space="preserve">6" thickness </t>
  </si>
  <si>
    <t xml:space="preserve">4" thickness </t>
  </si>
  <si>
    <t xml:space="preserve">Breaking of RCC Slab /Wall for installation of GI Pipe and sealing of hole after installation of GI pipe as per instruction of E.I.C </t>
  </si>
  <si>
    <t>B.5.00</t>
  </si>
  <si>
    <t>B.5.01</t>
  </si>
  <si>
    <t>B.5.02</t>
  </si>
  <si>
    <t>B.5.03</t>
  </si>
  <si>
    <t>From LMC/MDPE old tender</t>
  </si>
  <si>
    <t>RCC Valve Chambers- Size (L x W)-  600mm x 800mm</t>
  </si>
  <si>
    <t>RCC Valve Chambers- Size (L x W)- 900mm x 900mm</t>
  </si>
  <si>
    <t>bgl</t>
  </si>
  <si>
    <t>purposed</t>
  </si>
  <si>
    <t>Referance Rate</t>
  </si>
  <si>
    <t>IGL</t>
  </si>
  <si>
    <t>BGL</t>
  </si>
  <si>
    <t>Purposed</t>
  </si>
  <si>
    <t>Old LMC/MDPE tender</t>
  </si>
  <si>
    <t>Industrial Connection</t>
  </si>
  <si>
    <t xml:space="preserve">MRS / Metering Skids transportation, fabricating and installation of Metering, regulating system for natural gas supply to various industrial customers with Carbon Steel pipe along with all the fittings having pressure regulation up to 2.0 bar and diaphragm/RPD meter of various range (G-10 to G-25). The installation shall be done as per the Drg attached in tender given as annexure. Item includes supply of all the materials such as valves, strainer, reducers or other Fittings and clamps etc required as per the scheme except Meter and Pressure Regulator which shall be supplied by GNGPL. However, installation Meter and Regulator shall also include in the scope of this item.  CS pipe shall confirm to ASTM A106 Gr B 150# and fittings shall confirm to ASTM A105, welding Radiography nad testing of pipes &amp; fittings, shall be carried out as per applicable welding code. All the pipes shall be painted with min 02 coat of kennary yellow synthetic paint over a coat of steel primer. The receiving and transportation of free issue material such as Meter and Regulator from GNGPL store to site is in the scope of this item. 
Note. - The above rates include supply of all materials such as all valves, pipe and fittings etc. No further payment shall be given separately for any supply item.
</t>
  </si>
  <si>
    <t>From quotation received from Vendors</t>
  </si>
  <si>
    <t>Revised Total Amount</t>
  </si>
  <si>
    <r>
      <t>MDPE Service Line laying in old Projects / O&amp;M areas Includes laying of pipeline (for 20 &amp; 32mm) in all type of surface i.e., Kutcha, metal, concrete (PCC/RCC), bituminous, tiled, brick lined etc. after racking up of hard surface of any type by any methodology. Roads, Pavement, Footpaths etc. shall be made motorable once the pipeline is laid. Supply &amp; installation of GI Sleeve / Half round Concrete sleeve</t>
    </r>
    <r>
      <rPr>
        <sz val="16"/>
        <color rgb="FFFF0000"/>
        <rFont val="Times New Roman"/>
        <family val="1"/>
      </rPr>
      <t>(pedastal)</t>
    </r>
    <r>
      <rPr>
        <sz val="16"/>
        <rFont val="Times New Roman"/>
        <family val="1"/>
      </rPr>
      <t xml:space="preserve"> shall be included in laying rates.(Upto 4 Mtr.)
For Extra length as other than 4 mtr. are considered in normal laying. ( NOte : Refereed SOR Item Part I Item No A.0.00 )</t>
    </r>
  </si>
  <si>
    <r>
      <t>Note: Supply &amp; Installation of GI Sleeve 1/2 round concrete sleeve</t>
    </r>
    <r>
      <rPr>
        <sz val="16"/>
        <color rgb="FFFF0000"/>
        <rFont val="Times New Roman"/>
        <family val="1"/>
      </rPr>
      <t>(pedastal)</t>
    </r>
    <r>
      <rPr>
        <sz val="16"/>
        <rFont val="Times New Roman"/>
        <family val="1"/>
      </rPr>
      <t xml:space="preserve"> &amp; warning mat (Open trench excavation) shall be included in laying of MDPE Pipe. </t>
    </r>
  </si>
  <si>
    <r>
      <t>Conversions of all types of LPG Kitchen appliances</t>
    </r>
    <r>
      <rPr>
        <sz val="16"/>
        <color rgb="FFFF0000"/>
        <rFont val="Times New Roman"/>
        <family val="1"/>
      </rPr>
      <t>(including coocking range)</t>
    </r>
    <r>
      <rPr>
        <sz val="16"/>
        <rFont val="Times New Roman"/>
        <family val="1"/>
      </rPr>
      <t xml:space="preserve"> to NG based appliances, Supply &amp; changing of the nozzles / jets and associated controls for domestic &amp; imported appliances with proper tools and tackles. The rates include testing </t>
    </r>
    <r>
      <rPr>
        <sz val="16"/>
        <color rgb="FFFF0000"/>
        <rFont val="Times New Roman"/>
        <family val="1"/>
      </rPr>
      <t>(modification if required)</t>
    </r>
    <r>
      <rPr>
        <sz val="16"/>
        <rFont val="Times New Roman"/>
        <family val="1"/>
      </rPr>
      <t xml:space="preserve"> of Kitchen piping  from meter to Appliance valve and supply and  fixing of one steel reinforced rubber hose (1.5 m) per appliance/stove with clamps. Cleaning and  performing minor maintenance, greasing etc. of  the appliance and replacement or rectification of regulator. Testing and showing the performance to the customer, signing of joint meter records (JMR) and instructing the customer on use &amp; safety norms, complete as per specifications &amp; to satisfaction of owner / Engineer in Charge. This SOR is applicable for left out NG conversions by other contractor or as per the instructions of EIC.</t>
    </r>
  </si>
  <si>
    <t>Assessment of material requirement for installation at site, Order placement and Purchasing of Powder coated Gl Pipes, GI fittings, Copper pipes &amp; fittings, Brass Fittings, Isolation Valves &amp; appliance  valves from approved vendors of GNGPL, Scheduling, Planning of material &amp; Forwarding inspection  call, getting dispatch  clearance, handling,  loading, transportation  and  unloading of  these items at respective contractor's store. Receiving, taking over, handling, loading, transportation and  unloading of owner supplied above ground  fittings such  as  regulators, meters and free issue items (if any other) as defined in specification  from  Owner's   designated  stock  yards  to  Contractor's   own  stores /  work  sites,  proper  storing,  stacking, identification, providing security and insurance cover. Preparation and approval of sketches, schedules &amp; execution procedures. Finalising optimum route with consent of customer from transition fitting to cooking oven / appliance and ensuring installations in well ventilated area. Making temporary but stable platforms/ scaffolding/ rope ladders and supply of all other safety devices. Portal entry for new connections - New registration tracking and feasibility survey and its updation as per  GNGPL defined TAT; printing of stationary as per approved GNGPL formats required during connections. Follow-up and attend complaints receives from customer regarding delay in new connection &amp; NG conversion (Refer Drg attached in tender)</t>
  </si>
  <si>
    <r>
      <t xml:space="preserve">Wall mounted skid  Providing, fabricating and installation of Metering, regulating system for natural gas supply to various industrial customers with </t>
    </r>
    <r>
      <rPr>
        <sz val="16"/>
        <color rgb="FFFF0000"/>
        <rFont val="Times New Roman"/>
        <family val="1"/>
      </rPr>
      <t>32mm &amp; 50mm (1.5" &amp; 2")</t>
    </r>
    <r>
      <rPr>
        <sz val="16"/>
        <rFont val="Times New Roman"/>
        <family val="1"/>
      </rPr>
      <t xml:space="preserve"> and as per EIC instruction Carbon Steel pipe along with all the fittings having pressure regulation up to 2.0 bar and diaphragm/RPD meter of various range (G-10 to G-25) and as per EIC instruction. The installation shall be done as per the Drg attached in tender given as annexure. Item includes supply of all the materials such as valves, strainer, reducers or other Fittings and clamps etc required as per the scheme except Meter and Pressure Regulator which shall be supplied by GNGPL.</t>
    </r>
  </si>
  <si>
    <t>Hard Barricading of the trenches Cautionary Sign Boards and lighting arrangement shall be provided as per tender spec . The rates include barricading of trenches along with sign boards, lighting, PPE etc. and maintain the same till the back filling of the trench. Rates will be payable per metre of BARRICADING PROVIDED. If proper barricading is not provided, GNGPL will levy penalty of 1.5 times the rate per unit for the relevant section of the pipeline apart from other actions as per contract.</t>
  </si>
  <si>
    <t>Survey of the under ground  utilities, submission  of HDD profile for approval (excluding road and nala crossings),  execution of the work as per the standard procedure attached,  including  excavation  of  the  pits, Jointing  of casing and carrier pipe and  insertion  of  the carrier  pipe in casing of dia ranging from 120mm to 180mm for 90 mm &amp; 200mm to 250 mm dia for 125 mm dia MDPE , subsequent sealing, backfilling, compaction, submission  of as built graphs, final HDD profiles as per attached specification  and the instruction  of EIC / Site Engineer of Owner. The other activities are as per SOR Item No. I  and as detailed  in specification  and as per the instructions of the EIC / Site engineer of Owner. The supply of casing pipe shall bein the scope of contractor.
The payment shall be made for length of casing pipe laid in HDD, remaining carrier pipe length without casing shall be paid under SOR item no.1</t>
  </si>
  <si>
    <t>Revised unit rate</t>
  </si>
  <si>
    <t xml:space="preserve">Submission of applications as per approved drawings provided by owner / owner's representative (Initial Route Survey, Preperation of Drawings, measuring and providing details of surface type shall be in scope of Contractor with approval from Owner / Owner's representative), obtaining &amp; submission of demand note, Coordination, Liaisoning, Obtaining written permissions  from  Land  owing  agencies like  private road/ apartment road, municipal corporations,  PWD, NHAI, AAI, Forest Dept., Indian  Railways and  any other government/ private agencies who maintains the public lands. including liasioning during execution of work and obtaining NOC from the applicable authorities.  </t>
  </si>
  <si>
    <t xml:space="preserve">Restoration to original conditions of dismantled surface like Asphalted/Bituminous Road, Concrete Pavement, Agra /Kota Stones / Tiles (Chequered/interlocking etc.), Dry Brick Pavement as per the technical specifications attached in the tender after laying of pipeline in Built- Up surface, as per the directions of EIC / Site lncharge. Scope includes supply of the approved quality material, testing of materials by third party agencies as per technical specification / CPWD /  IRC Standards, submission of the restoration reports, obtaining no objection certificates from the concern local authorities /land  owners / third party inspection agencies designated by land owing agencies and Owner. </t>
  </si>
  <si>
    <r>
      <t>Supply and installation from lateral isolation valve to appliance along with meter installation - The cumulative length of  1/2 "GI within 2 m &amp; Cu within 2m  or (GI + Cu) within 4m after lateral isolation valve  up to appliance along with installation of meter and all fittings</t>
    </r>
    <r>
      <rPr>
        <sz val="16"/>
        <rFont val="Times New Roman"/>
        <family val="1"/>
      </rPr>
      <t>. Additional quantity above 4 Meters (GI + Cu) shall be payable only in case cumulative length exceeds  4 m. Payment against additional length of (GI / Cu) shall be as per item B.0.00 &amp; B.2.00</t>
    </r>
    <r>
      <rPr>
        <sz val="16"/>
        <color rgb="FFFF0000"/>
        <rFont val="Times New Roman"/>
        <family val="1"/>
      </rPr>
      <t>.</t>
    </r>
  </si>
  <si>
    <t>Supply and installation from existing riser to appliance along with meter installation - Supply and installation from lateral isolation valve to appliance along with meter installation and all fittings. The cumulative length of  1/2 "GI within 2 m &amp; Cu within 2m  or (GI + Cu) within 4m after lateral isolation valve  up to appliance along with installation of meter .
Additional quantity above 4 Meters (GI + Cu) shall be payable only in case   cumulative length exceeds  4 m. Payment against additional length of (GI / Cu) shall be as per item B.0.00 &amp; B.2.00.</t>
  </si>
  <si>
    <t>Testing and conversion of Domestic Appliances in Project/O&amp;M area:</t>
  </si>
  <si>
    <t>Existing Rate</t>
  </si>
  <si>
    <t xml:space="preserve">Any other activities not mentioned / covered explicitly above, but otherwise required for satisfactory completion / operation / safety / statutory / maintenance of the works shall also be covered under the scope of work and has to be completed by Contractor within specified schedule at no extra cost to Owner. All the work shall be executed in accordance with the provision of contract.
</t>
  </si>
  <si>
    <t>Supply and installation from existing riser to appliance along with meter installation and cutting of glass if required and as per EIC instruction- Supply and installation from lateral isolation valve to appliance along with meter installation and all fittings. The cumulative length of  1/2 "GI within 2 m &amp; Cu within 2m  or (GI + Cu) within 4m after lateral isolation valve  up to appliance along with installation of meter .
Additional quantity above 4 Meters (GI + Cu) shall be payable only in case   cumulative length exceeds  4 m. Payment against additional length of (GI / Cu) shall be as per item B.0.00 &amp; B.2.00.</t>
  </si>
  <si>
    <t>Conversions of all types of LPG Kitchen appliances(including coocking range) to NG based appliances, Supply &amp; changing of the nozzles / jets/ granite cutting and associated controls for domestic &amp; imported appliances with proper tools and tackles. The rates include testing (modification if required) of Kitchen piping  from meter to Appliance valve and supply and  fixing of one steel reinforced rubber hose upto (1.5 m) per appliance/stove with clamps. Cleaning and  performing minor maintenance, greasing etc. of  the appliance and replacement or rectification of regulator. Testing and showing the performance to the customer, signing of joint meter records (JMR) and instructing the customer on use &amp; safety norms, complete as per specifications &amp; to satisfaction of owner / Engineer in Charge. This SOR is applicable for left out NG conversions by other contractor or as per the instructions of EIC.</t>
  </si>
  <si>
    <t>Description</t>
  </si>
  <si>
    <t>Value</t>
  </si>
  <si>
    <r>
      <rPr>
        <b/>
        <sz val="11"/>
        <rFont val="Times New Roman"/>
        <family val="1"/>
      </rPr>
      <t>Note:</t>
    </r>
    <r>
      <rPr>
        <sz val="11"/>
        <rFont val="Times New Roman"/>
        <family val="1"/>
      </rPr>
      <t xml:space="preserve"> 
1. GI, Cu, brass fittings shall not be counted separately. It shall be measured along with GI &amp; Cu pipe.
2. If Cumulative length of GI &amp; Cu increases specified lengths in connection rate SOR no. B.1.01 &amp; B.1.02, extra piping shall be paid considering installation as done in Flats or bungalows as per SOR item no.: B.0.00 &amp; B.2.00.</t>
    </r>
  </si>
  <si>
    <t xml:space="preserve"> Unit Rate</t>
  </si>
  <si>
    <t>Carrying out the work of obtaining PNG registration in all respect as detailed in Scope of work and Special Conditions of contract and as per directions/instructions of Engineer In charge /Authorized representative including but not limited to following : 
1) Enrolment &amp; Registration of PNG Customers as per the given target.
2) Collection of  filled up form along with Security  Deposit amount (only in the form of cheque/Demand Draft/ Online mode) and relevant documents. 
3) Carrying out the work of demand registration, evaluation, facilitation of signing of GSA and collection of security deposit and payment against payment security as detailed in scope of work and special condition of contract of tender document as per requirement and the satisfaction of the EIC for industrial and commercial customers.
4) Carrying out the marketing activities for PNG connection as per directions/instructions of the EIC including but not limited  to  the  following:  Printing &amp; Distribution of  leaflets &amp;  FAQ,  Printing &amp; Installation  of  banners at prime  locations, Awareness cum Registration Camp, Audio/Visual Presentations, Organizing Road Shows, etc.</t>
  </si>
  <si>
    <t>After submission of documents and closur of contract</t>
  </si>
  <si>
    <t xml:space="preserve">After completion of all work in all respects </t>
  </si>
  <si>
    <t>on completion of meter installation with submission of JMR sheet</t>
  </si>
  <si>
    <t>On Completion of conversion with all relative work</t>
  </si>
  <si>
    <t>GI installations for pipes more than 2 m per connection</t>
  </si>
  <si>
    <t>1/2" GI Pipe installation more than 2 meter per connection</t>
  </si>
  <si>
    <t>Claim %</t>
  </si>
  <si>
    <t xml:space="preserve">Note </t>
  </si>
  <si>
    <r>
      <t xml:space="preserve">The </t>
    </r>
    <r>
      <rPr>
        <b/>
        <sz val="11"/>
        <color theme="1"/>
        <rFont val="Calibri"/>
        <family val="2"/>
        <scheme val="minor"/>
      </rPr>
      <t>unit rate quoted by the bidder shall remain the same</t>
    </r>
    <r>
      <rPr>
        <sz val="11"/>
        <color theme="1"/>
        <rFont val="Calibri"/>
        <family val="2"/>
        <scheme val="minor"/>
      </rPr>
      <t xml:space="preserve"> for completion of the work and final closure of the contract.</t>
    </r>
  </si>
  <si>
    <r>
      <t xml:space="preserve">Payment shall be released </t>
    </r>
    <r>
      <rPr>
        <b/>
        <sz val="11"/>
        <color theme="1"/>
        <rFont val="Calibri"/>
        <family val="2"/>
        <scheme val="minor"/>
      </rPr>
      <t>as per the claim percentage (%) specified in the Schedule of Rates (SOR)</t>
    </r>
    <r>
      <rPr>
        <sz val="11"/>
        <color theme="1"/>
        <rFont val="Calibri"/>
        <family val="2"/>
        <scheme val="minor"/>
      </rPr>
      <t>, subject to satisfactory completion of the respective activity/work.</t>
    </r>
  </si>
  <si>
    <r>
      <t xml:space="preserve">The </t>
    </r>
    <r>
      <rPr>
        <b/>
        <sz val="11"/>
        <color theme="1"/>
        <rFont val="Calibri"/>
        <family val="2"/>
        <scheme val="minor"/>
      </rPr>
      <t>quoted unit rates shall remain firm and fixed throughout the entire contract period</t>
    </r>
    <r>
      <rPr>
        <sz val="11"/>
        <color theme="1"/>
        <rFont val="Calibri"/>
        <family val="2"/>
        <scheme val="minor"/>
      </rPr>
      <t xml:space="preserve"> and shall not be subject to any escalation or revision for any reason whatsoever.</t>
    </r>
  </si>
  <si>
    <t xml:space="preserve">Schedule of rate </t>
  </si>
  <si>
    <t xml:space="preserve">Tender </t>
  </si>
  <si>
    <t>HIRING OF AGENCY UNDER RATE CONTRACT FOR PNG METER INSTALLATION, PNG CONVERSION AND DIRECT MARKETING ACTIVITIES IN GASIFIED SOCIETIES OF NORTH GOA GEOGRAPHICAL AREA</t>
  </si>
  <si>
    <t xml:space="preserve">Vendor name  </t>
  </si>
  <si>
    <r>
      <rPr>
        <sz val="11"/>
        <color theme="1"/>
        <rFont val="Calibri"/>
        <family val="2"/>
        <scheme val="minor"/>
      </rPr>
      <t xml:space="preserve"> The </t>
    </r>
    <r>
      <rPr>
        <b/>
        <sz val="11"/>
        <color theme="1"/>
        <rFont val="Calibri"/>
        <family val="2"/>
        <scheme val="minor"/>
      </rPr>
      <t>SOR shall not be altered, modified, deleted, or changed in any manner whatsoever</t>
    </r>
    <r>
      <rPr>
        <sz val="11"/>
        <color theme="1"/>
        <rFont val="Calibri"/>
        <family val="2"/>
        <scheme val="minor"/>
      </rPr>
      <t>. Any deviation from the prescribed SOR format may render the bid liable for rejection.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</si>
</sst>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 #,##0.00_ ;_ * \-#,##0.00_ ;_ * &quot;-&quot;??_ ;_ @_ "/>
    <numFmt numFmtId="165" formatCode="&quot;Rs.&quot;\ #,##0.00"/>
  </numFmts>
  <fonts count="49" x14ac:knownFonts="1">
    <font>
      <sz val="11"/>
      <color theme="1"/>
      <name val="Calibri"/>
      <family val="2"/>
      <scheme val="minor"/>
    </font>
    <font>
      <b/>
      <sz val="20"/>
      <color theme="1"/>
      <name val="Calibri"/>
      <family val="2"/>
      <scheme val="minor"/>
    </font>
    <font>
      <b/>
      <sz val="14"/>
      <color theme="1"/>
      <name val="Calibri"/>
      <family val="2"/>
      <scheme val="minor"/>
    </font>
    <font>
      <b/>
      <sz val="12"/>
      <color theme="1"/>
      <name val="Calibri"/>
      <family val="2"/>
      <scheme val="minor"/>
    </font>
    <font>
      <b/>
      <sz val="14"/>
      <color rgb="FF20124D"/>
      <name val="Calibri"/>
      <family val="2"/>
      <scheme val="minor"/>
    </font>
    <font>
      <sz val="18"/>
      <color theme="1"/>
      <name val="Calibri"/>
      <family val="2"/>
      <scheme val="minor"/>
    </font>
    <font>
      <b/>
      <sz val="14"/>
      <name val="Calibri"/>
      <family val="2"/>
      <scheme val="minor"/>
    </font>
    <font>
      <sz val="14"/>
      <color theme="1"/>
      <name val="Calibri"/>
      <family val="2"/>
      <scheme val="minor"/>
    </font>
    <font>
      <sz val="14"/>
      <name val="Calibri"/>
      <family val="2"/>
      <scheme val="minor"/>
    </font>
    <font>
      <sz val="14"/>
      <color rgb="FF000000"/>
      <name val="Calibri"/>
      <family val="2"/>
      <scheme val="minor"/>
    </font>
    <font>
      <sz val="8"/>
      <name val="Calibri"/>
      <family val="2"/>
      <scheme val="minor"/>
    </font>
    <font>
      <sz val="11"/>
      <color theme="1"/>
      <name val="Calibri"/>
      <family val="2"/>
      <scheme val="minor"/>
    </font>
    <font>
      <sz val="10"/>
      <color rgb="FF000000"/>
      <name val="Times New Roman"/>
      <family val="1"/>
    </font>
    <font>
      <b/>
      <sz val="16"/>
      <name val="Verdana"/>
      <family val="2"/>
    </font>
    <font>
      <b/>
      <u/>
      <sz val="16"/>
      <name val="Verdana"/>
      <family val="2"/>
    </font>
    <font>
      <sz val="10"/>
      <color rgb="FF000000"/>
      <name val="Verdana"/>
      <family val="2"/>
    </font>
    <font>
      <sz val="10"/>
      <name val="Arial"/>
      <family val="2"/>
    </font>
    <font>
      <b/>
      <sz val="12"/>
      <name val="Arial"/>
      <family val="2"/>
    </font>
    <font>
      <b/>
      <sz val="11"/>
      <color rgb="FF000000"/>
      <name val="Verdana"/>
      <family val="2"/>
    </font>
    <font>
      <sz val="11"/>
      <color rgb="FF000000"/>
      <name val="Verdana"/>
      <family val="2"/>
    </font>
    <font>
      <b/>
      <sz val="11"/>
      <name val="Arial"/>
      <family val="2"/>
    </font>
    <font>
      <sz val="11"/>
      <name val="Verdana"/>
      <family val="2"/>
    </font>
    <font>
      <b/>
      <sz val="11"/>
      <color rgb="FFFF0000"/>
      <name val="Verdana"/>
      <family val="2"/>
    </font>
    <font>
      <sz val="11"/>
      <name val="Arial"/>
      <family val="2"/>
    </font>
    <font>
      <sz val="12"/>
      <color rgb="FF000000"/>
      <name val="Verdana"/>
      <family val="2"/>
    </font>
    <font>
      <sz val="11"/>
      <color theme="1"/>
      <name val="Arial"/>
      <family val="2"/>
    </font>
    <font>
      <b/>
      <sz val="16"/>
      <name val="Times New Roman"/>
      <family val="1"/>
    </font>
    <font>
      <sz val="16"/>
      <name val="Times New Roman"/>
      <family val="1"/>
    </font>
    <font>
      <sz val="16"/>
      <color rgb="FF000000"/>
      <name val="Times New Roman"/>
      <family val="1"/>
    </font>
    <font>
      <b/>
      <sz val="16"/>
      <color theme="1"/>
      <name val="Times New Roman"/>
      <family val="1"/>
    </font>
    <font>
      <sz val="16"/>
      <color theme="1"/>
      <name val="Times New Roman"/>
      <family val="1"/>
    </font>
    <font>
      <b/>
      <sz val="14"/>
      <color rgb="FF000000"/>
      <name val="Calibri"/>
      <family val="2"/>
      <scheme val="minor"/>
    </font>
    <font>
      <sz val="14"/>
      <color rgb="FF000000"/>
      <name val="Times New Roman"/>
      <family val="1"/>
    </font>
    <font>
      <b/>
      <sz val="16"/>
      <color rgb="FF000000"/>
      <name val="Times New Roman"/>
      <family val="1"/>
    </font>
    <font>
      <sz val="16"/>
      <color rgb="FFFF0000"/>
      <name val="Times New Roman"/>
      <family val="1"/>
    </font>
    <font>
      <sz val="11"/>
      <color rgb="FFFF0000"/>
      <name val="Verdana"/>
      <family val="2"/>
    </font>
    <font>
      <b/>
      <i/>
      <sz val="14"/>
      <name val="Calibri"/>
      <family val="2"/>
      <scheme val="minor"/>
    </font>
    <font>
      <b/>
      <sz val="12"/>
      <name val="Times New Roman"/>
      <family val="1"/>
    </font>
    <font>
      <sz val="11"/>
      <name val="Times New Roman"/>
      <family val="1"/>
    </font>
    <font>
      <b/>
      <sz val="11"/>
      <name val="Times New Roman"/>
      <family val="1"/>
    </font>
    <font>
      <b/>
      <sz val="11"/>
      <color rgb="FF000000"/>
      <name val="Calibri"/>
      <family val="2"/>
    </font>
    <font>
      <b/>
      <sz val="11"/>
      <name val="Book Antiqua"/>
      <family val="1"/>
    </font>
    <font>
      <sz val="11"/>
      <name val="Calibri"/>
      <family val="2"/>
    </font>
    <font>
      <sz val="11"/>
      <name val="Book Antiqua"/>
      <family val="1"/>
    </font>
    <font>
      <b/>
      <sz val="12"/>
      <color theme="1"/>
      <name val="Arial"/>
      <family val="2"/>
    </font>
    <font>
      <sz val="10"/>
      <color rgb="FF000000"/>
      <name val="Arial"/>
      <family val="2"/>
    </font>
    <font>
      <b/>
      <sz val="10"/>
      <name val="Times New Roman"/>
      <family val="1"/>
    </font>
    <font>
      <b/>
      <sz val="11"/>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164" fontId="11" fillId="0" borderId="0" applyFont="0" applyFill="0" applyBorder="0" applyAlignment="0" applyProtection="0"/>
    <xf numFmtId="0" fontId="12" fillId="0" borderId="0"/>
    <xf numFmtId="0" fontId="16" fillId="0" borderId="0"/>
    <xf numFmtId="0" fontId="45" fillId="0" borderId="0"/>
  </cellStyleXfs>
  <cellXfs count="275">
    <xf numFmtId="0" fontId="0" fillId="0" borderId="0" xfId="0"/>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wrapText="1"/>
    </xf>
    <xf numFmtId="165" fontId="3" fillId="2" borderId="3" xfId="0" applyNumberFormat="1" applyFont="1" applyFill="1" applyBorder="1" applyAlignment="1">
      <alignment wrapText="1"/>
    </xf>
    <xf numFmtId="0" fontId="2" fillId="2" borderId="4"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wrapText="1"/>
    </xf>
    <xf numFmtId="165" fontId="3" fillId="2" borderId="0" xfId="0" applyNumberFormat="1" applyFont="1" applyFill="1" applyAlignment="1">
      <alignment wrapText="1"/>
    </xf>
    <xf numFmtId="0" fontId="2" fillId="0" borderId="5" xfId="0" applyFont="1" applyBorder="1" applyAlignment="1">
      <alignment horizontal="center" wrapText="1"/>
    </xf>
    <xf numFmtId="0" fontId="3" fillId="2" borderId="6" xfId="0" applyFont="1" applyFill="1" applyBorder="1" applyAlignment="1">
      <alignment horizontal="center" vertical="center" wrapText="1"/>
    </xf>
    <xf numFmtId="0" fontId="3" fillId="2" borderId="6" xfId="0" applyFont="1" applyFill="1" applyBorder="1" applyAlignment="1">
      <alignment wrapText="1"/>
    </xf>
    <xf numFmtId="165" fontId="3" fillId="2" borderId="6" xfId="0" applyNumberFormat="1" applyFont="1" applyFill="1" applyBorder="1" applyAlignment="1">
      <alignment wrapText="1"/>
    </xf>
    <xf numFmtId="2" fontId="3" fillId="2" borderId="6" xfId="0" applyNumberFormat="1" applyFont="1" applyFill="1" applyBorder="1"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0" xfId="0" applyFont="1"/>
    <xf numFmtId="0" fontId="2" fillId="0" borderId="1" xfId="0" applyFont="1" applyBorder="1" applyAlignment="1">
      <alignment vertical="center"/>
    </xf>
    <xf numFmtId="0" fontId="5" fillId="0" borderId="0" xfId="0" applyFont="1"/>
    <xf numFmtId="0" fontId="0" fillId="0" borderId="0" xfId="0" applyAlignment="1">
      <alignment vertical="center"/>
    </xf>
    <xf numFmtId="0" fontId="6" fillId="0" borderId="8" xfId="0" applyFont="1" applyBorder="1" applyAlignment="1">
      <alignment vertical="center" wrapText="1"/>
    </xf>
    <xf numFmtId="0" fontId="6" fillId="0" borderId="1" xfId="0" applyFont="1" applyBorder="1" applyAlignment="1">
      <alignment vertical="center" wrapText="1"/>
    </xf>
    <xf numFmtId="165" fontId="2" fillId="0" borderId="1" xfId="0" applyNumberFormat="1" applyFont="1" applyBorder="1" applyAlignment="1">
      <alignment horizontal="center" vertical="center"/>
    </xf>
    <xf numFmtId="0" fontId="0" fillId="0" borderId="0" xfId="0" applyAlignment="1">
      <alignment horizontal="center" vertical="center"/>
    </xf>
    <xf numFmtId="165" fontId="0" fillId="0" borderId="0" xfId="0" applyNumberFormat="1"/>
    <xf numFmtId="2" fontId="0" fillId="0" borderId="0" xfId="0" applyNumberFormat="1"/>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165" fontId="7" fillId="0" borderId="1" xfId="0" applyNumberFormat="1" applyFont="1" applyBorder="1" applyAlignment="1">
      <alignment horizontal="center" vertical="center"/>
    </xf>
    <xf numFmtId="2" fontId="7" fillId="0" borderId="1" xfId="0" applyNumberFormat="1" applyFont="1" applyBorder="1" applyAlignment="1">
      <alignment horizontal="center" vertical="center"/>
    </xf>
    <xf numFmtId="0" fontId="7" fillId="0" borderId="1" xfId="0" applyFont="1" applyBorder="1" applyAlignment="1">
      <alignment horizontal="left" vertical="center" wrapText="1"/>
    </xf>
    <xf numFmtId="9" fontId="7" fillId="0" borderId="1" xfId="0" applyNumberFormat="1" applyFont="1" applyBorder="1" applyAlignment="1">
      <alignment horizontal="center" vertical="center" wrapText="1"/>
    </xf>
    <xf numFmtId="2" fontId="8"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2" fillId="0" borderId="11" xfId="0" applyFont="1" applyBorder="1" applyAlignment="1">
      <alignment horizontal="center" vertical="center"/>
    </xf>
    <xf numFmtId="0" fontId="7" fillId="0" borderId="11" xfId="0" applyFont="1" applyBorder="1" applyAlignment="1">
      <alignment horizontal="left" vertical="center" wrapText="1"/>
    </xf>
    <xf numFmtId="0" fontId="7"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11" xfId="0" applyFont="1" applyBorder="1" applyAlignment="1">
      <alignment horizontal="center" vertical="center" wrapText="1"/>
    </xf>
    <xf numFmtId="0" fontId="8" fillId="0" borderId="1" xfId="0" applyFont="1" applyBorder="1" applyAlignment="1">
      <alignment horizontal="center" vertical="center" wrapText="1"/>
    </xf>
    <xf numFmtId="165" fontId="8" fillId="0" borderId="1" xfId="0" applyNumberFormat="1" applyFont="1" applyBorder="1" applyAlignment="1">
      <alignment horizontal="center" vertical="center" wrapText="1"/>
    </xf>
    <xf numFmtId="2" fontId="7" fillId="0" borderId="1" xfId="0" applyNumberFormat="1" applyFont="1" applyBorder="1"/>
    <xf numFmtId="0" fontId="0" fillId="0" borderId="1" xfId="0" applyBorder="1"/>
    <xf numFmtId="0" fontId="2" fillId="0" borderId="1" xfId="0" applyFont="1" applyBorder="1"/>
    <xf numFmtId="0" fontId="15" fillId="0" borderId="0" xfId="2" applyFont="1" applyAlignment="1">
      <alignment horizontal="left" vertical="top"/>
    </xf>
    <xf numFmtId="0" fontId="15" fillId="0" borderId="0" xfId="2" applyFont="1" applyAlignment="1">
      <alignment horizontal="center" vertical="center"/>
    </xf>
    <xf numFmtId="3" fontId="17" fillId="0" borderId="0" xfId="3" applyNumberFormat="1" applyFont="1"/>
    <xf numFmtId="164" fontId="18" fillId="0" borderId="0" xfId="1" applyFont="1" applyAlignment="1">
      <alignment horizontal="center" vertical="center" wrapText="1"/>
    </xf>
    <xf numFmtId="164" fontId="19" fillId="0" borderId="0" xfId="1" applyFont="1" applyAlignment="1">
      <alignment horizontal="center" vertical="center" wrapText="1"/>
    </xf>
    <xf numFmtId="0" fontId="15" fillId="3" borderId="0" xfId="2" applyFont="1" applyFill="1" applyAlignment="1">
      <alignment horizontal="left" vertical="top"/>
    </xf>
    <xf numFmtId="164" fontId="20" fillId="0" borderId="0" xfId="1" applyFont="1" applyAlignment="1">
      <alignment horizontal="center" vertical="center" wrapText="1"/>
    </xf>
    <xf numFmtId="9" fontId="20" fillId="0" borderId="0" xfId="1" applyNumberFormat="1" applyFont="1" applyAlignment="1">
      <alignment horizontal="center" vertical="center" wrapText="1"/>
    </xf>
    <xf numFmtId="10" fontId="22" fillId="0" borderId="0" xfId="1" applyNumberFormat="1" applyFont="1" applyAlignment="1">
      <alignment horizontal="center" vertical="center" wrapText="1"/>
    </xf>
    <xf numFmtId="164" fontId="19" fillId="0" borderId="0" xfId="1" applyFont="1" applyAlignment="1">
      <alignment vertical="center" wrapText="1"/>
    </xf>
    <xf numFmtId="9" fontId="19" fillId="0" borderId="0" xfId="1" applyNumberFormat="1" applyFont="1" applyAlignment="1">
      <alignment horizontal="center" vertical="center" wrapText="1"/>
    </xf>
    <xf numFmtId="10" fontId="19" fillId="0" borderId="0" xfId="1" applyNumberFormat="1" applyFont="1" applyAlignment="1">
      <alignment horizontal="center" vertical="center" wrapText="1"/>
    </xf>
    <xf numFmtId="164" fontId="19" fillId="0" borderId="0" xfId="1" applyFont="1" applyAlignment="1">
      <alignment horizontal="right" vertical="center" wrapText="1"/>
    </xf>
    <xf numFmtId="164" fontId="19" fillId="0" borderId="0" xfId="1" applyFont="1" applyFill="1" applyAlignment="1">
      <alignment horizontal="center" vertical="center" wrapText="1"/>
    </xf>
    <xf numFmtId="164" fontId="19" fillId="2" borderId="0" xfId="1" applyFont="1" applyFill="1" applyAlignment="1">
      <alignment horizontal="center" vertical="center" wrapText="1"/>
    </xf>
    <xf numFmtId="164" fontId="23" fillId="2" borderId="0" xfId="1" applyFont="1" applyFill="1" applyAlignment="1">
      <alignment horizontal="center" vertical="center" wrapText="1"/>
    </xf>
    <xf numFmtId="0" fontId="24" fillId="2" borderId="0" xfId="2" applyFont="1" applyFill="1" applyAlignment="1">
      <alignment horizontal="left" vertical="top"/>
    </xf>
    <xf numFmtId="0" fontId="23" fillId="2" borderId="0" xfId="2" applyFont="1" applyFill="1"/>
    <xf numFmtId="0" fontId="21" fillId="2" borderId="0" xfId="2" applyFont="1" applyFill="1" applyAlignment="1">
      <alignment horizontal="center" vertical="center" wrapText="1"/>
    </xf>
    <xf numFmtId="0" fontId="25" fillId="0" borderId="0" xfId="2" applyFont="1"/>
    <xf numFmtId="0" fontId="15" fillId="0" borderId="0" xfId="2" applyFont="1" applyAlignment="1">
      <alignment horizontal="left" vertical="top" wrapText="1"/>
    </xf>
    <xf numFmtId="10" fontId="15" fillId="0" borderId="0" xfId="2" applyNumberFormat="1" applyFont="1" applyAlignment="1">
      <alignment horizontal="left" vertical="top"/>
    </xf>
    <xf numFmtId="0" fontId="15" fillId="0" borderId="0" xfId="2" applyFont="1" applyAlignment="1">
      <alignment horizontal="justify" vertical="center"/>
    </xf>
    <xf numFmtId="164" fontId="18" fillId="0" borderId="0" xfId="1" applyFont="1" applyAlignment="1">
      <alignment vertical="center" wrapText="1"/>
    </xf>
    <xf numFmtId="0" fontId="26" fillId="0" borderId="16" xfId="2" applyFont="1" applyBorder="1" applyAlignment="1">
      <alignment horizontal="center" vertical="center" wrapText="1"/>
    </xf>
    <xf numFmtId="0" fontId="26" fillId="0" borderId="12" xfId="2" applyFont="1" applyBorder="1" applyAlignment="1">
      <alignment horizontal="center" vertical="center" wrapText="1"/>
    </xf>
    <xf numFmtId="0" fontId="26" fillId="0" borderId="1" xfId="2" applyFont="1" applyBorder="1" applyAlignment="1">
      <alignment horizontal="center" vertical="center" wrapText="1"/>
    </xf>
    <xf numFmtId="164" fontId="26" fillId="0" borderId="1" xfId="1" applyFont="1" applyFill="1" applyBorder="1" applyAlignment="1" applyProtection="1">
      <alignment horizontal="center" vertical="center" wrapText="1"/>
    </xf>
    <xf numFmtId="1" fontId="26" fillId="0" borderId="16" xfId="1" applyNumberFormat="1" applyFont="1" applyFill="1" applyBorder="1" applyAlignment="1" applyProtection="1">
      <alignment horizontal="center" vertical="center" wrapText="1"/>
    </xf>
    <xf numFmtId="1" fontId="26" fillId="0" borderId="12" xfId="1" applyNumberFormat="1" applyFont="1" applyFill="1" applyBorder="1" applyAlignment="1" applyProtection="1">
      <alignment horizontal="center" vertical="center" wrapText="1"/>
    </xf>
    <xf numFmtId="1" fontId="26" fillId="0" borderId="1" xfId="1" applyNumberFormat="1" applyFont="1" applyFill="1" applyBorder="1" applyAlignment="1" applyProtection="1">
      <alignment horizontal="center" vertical="center" wrapText="1"/>
    </xf>
    <xf numFmtId="0" fontId="26" fillId="0" borderId="1" xfId="2" applyFont="1" applyBorder="1" applyAlignment="1">
      <alignment vertical="center" wrapText="1"/>
    </xf>
    <xf numFmtId="0" fontId="27" fillId="0" borderId="7" xfId="2" applyFont="1" applyBorder="1" applyAlignment="1">
      <alignment vertical="center" wrapText="1"/>
    </xf>
    <xf numFmtId="164" fontId="27" fillId="0" borderId="1" xfId="1" applyFont="1" applyFill="1" applyBorder="1" applyAlignment="1" applyProtection="1">
      <alignment horizontal="center" vertical="center" wrapText="1"/>
    </xf>
    <xf numFmtId="0" fontId="26" fillId="0" borderId="7" xfId="2" applyFont="1" applyBorder="1" applyAlignment="1">
      <alignment vertical="center" wrapText="1"/>
    </xf>
    <xf numFmtId="164" fontId="27" fillId="0" borderId="1" xfId="1" applyFont="1" applyFill="1" applyBorder="1" applyAlignment="1" applyProtection="1">
      <alignment horizontal="left" vertical="center" wrapText="1"/>
    </xf>
    <xf numFmtId="0" fontId="27" fillId="0" borderId="1" xfId="2" applyFont="1" applyBorder="1" applyAlignment="1">
      <alignment horizontal="center" vertical="center" wrapText="1"/>
    </xf>
    <xf numFmtId="1" fontId="26" fillId="0" borderId="16" xfId="2" applyNumberFormat="1" applyFont="1" applyBorder="1" applyAlignment="1">
      <alignment horizontal="center" vertical="center" shrinkToFit="1"/>
    </xf>
    <xf numFmtId="0" fontId="26" fillId="0" borderId="7" xfId="2" applyFont="1" applyBorder="1" applyAlignment="1">
      <alignment horizontal="justify" vertical="center"/>
    </xf>
    <xf numFmtId="0" fontId="26" fillId="0" borderId="15" xfId="2" applyFont="1" applyBorder="1" applyAlignment="1">
      <alignment horizontal="center" vertical="center" wrapText="1"/>
    </xf>
    <xf numFmtId="0" fontId="27" fillId="0" borderId="17" xfId="2" applyFont="1" applyBorder="1" applyAlignment="1">
      <alignment horizontal="left" vertical="top"/>
    </xf>
    <xf numFmtId="0" fontId="27" fillId="0" borderId="20" xfId="3" applyFont="1" applyBorder="1" applyAlignment="1">
      <alignment vertical="center" wrapText="1"/>
    </xf>
    <xf numFmtId="0" fontId="29" fillId="0" borderId="23" xfId="2" applyFont="1" applyBorder="1" applyAlignment="1" applyProtection="1">
      <alignment vertical="center"/>
      <protection locked="0"/>
    </xf>
    <xf numFmtId="0" fontId="29" fillId="0" borderId="24" xfId="2" applyFont="1" applyBorder="1" applyAlignment="1" applyProtection="1">
      <alignment vertical="center"/>
      <protection locked="0"/>
    </xf>
    <xf numFmtId="0" fontId="29" fillId="0" borderId="1" xfId="2" applyFont="1" applyBorder="1" applyAlignment="1" applyProtection="1">
      <alignment vertical="center"/>
      <protection locked="0"/>
    </xf>
    <xf numFmtId="0" fontId="29" fillId="0" borderId="25" xfId="2" applyFont="1" applyBorder="1" applyAlignment="1" applyProtection="1">
      <alignment vertical="center"/>
      <protection locked="0"/>
    </xf>
    <xf numFmtId="0" fontId="29" fillId="0" borderId="26" xfId="2" applyFont="1" applyBorder="1" applyAlignment="1" applyProtection="1">
      <alignment vertical="center"/>
      <protection locked="0"/>
    </xf>
    <xf numFmtId="0" fontId="26" fillId="4" borderId="16" xfId="2" applyFont="1" applyFill="1" applyBorder="1" applyAlignment="1">
      <alignment horizontal="center" vertical="center" wrapText="1"/>
    </xf>
    <xf numFmtId="0" fontId="27" fillId="4" borderId="7" xfId="2" applyFont="1" applyFill="1" applyBorder="1" applyAlignment="1">
      <alignment vertical="center" wrapText="1"/>
    </xf>
    <xf numFmtId="164" fontId="27" fillId="4" borderId="1" xfId="1" applyFont="1" applyFill="1" applyBorder="1" applyAlignment="1" applyProtection="1">
      <alignment horizontal="left" vertical="center" wrapText="1"/>
    </xf>
    <xf numFmtId="164" fontId="27" fillId="4" borderId="1" xfId="1" applyFont="1" applyFill="1" applyBorder="1" applyAlignment="1" applyProtection="1">
      <alignment horizontal="center" vertical="center" wrapText="1"/>
    </xf>
    <xf numFmtId="0" fontId="27" fillId="0" borderId="12" xfId="2" applyFont="1" applyBorder="1" applyAlignment="1">
      <alignment vertical="center" wrapText="1"/>
    </xf>
    <xf numFmtId="0" fontId="27" fillId="0" borderId="7" xfId="2" applyFont="1" applyBorder="1" applyAlignment="1">
      <alignment vertical="justify" wrapText="1"/>
    </xf>
    <xf numFmtId="164" fontId="19" fillId="0" borderId="0" xfId="1" applyFont="1" applyFill="1" applyAlignment="1">
      <alignment vertical="center" wrapText="1"/>
    </xf>
    <xf numFmtId="2" fontId="26" fillId="0" borderId="1" xfId="1" applyNumberFormat="1" applyFont="1" applyFill="1" applyBorder="1" applyAlignment="1" applyProtection="1">
      <alignment horizontal="center" vertical="center" wrapText="1"/>
    </xf>
    <xf numFmtId="2" fontId="26" fillId="0" borderId="1" xfId="2" applyNumberFormat="1" applyFont="1" applyBorder="1" applyAlignment="1">
      <alignment vertical="center" wrapText="1"/>
    </xf>
    <xf numFmtId="2" fontId="27" fillId="0" borderId="1" xfId="2" applyNumberFormat="1" applyFont="1" applyBorder="1" applyAlignment="1">
      <alignment horizontal="center" vertical="center" wrapText="1"/>
    </xf>
    <xf numFmtId="2" fontId="26" fillId="0" borderId="1" xfId="2" applyNumberFormat="1" applyFont="1" applyBorder="1" applyAlignment="1">
      <alignment horizontal="center" vertical="center" wrapText="1"/>
    </xf>
    <xf numFmtId="2" fontId="27" fillId="4" borderId="1" xfId="2" applyNumberFormat="1" applyFont="1" applyFill="1" applyBorder="1" applyAlignment="1">
      <alignment horizontal="center" vertical="center" wrapText="1"/>
    </xf>
    <xf numFmtId="2" fontId="28" fillId="0" borderId="1" xfId="2" applyNumberFormat="1" applyFont="1" applyBorder="1" applyAlignment="1">
      <alignment horizontal="center" vertical="center"/>
    </xf>
    <xf numFmtId="2" fontId="27" fillId="0" borderId="1" xfId="3" applyNumberFormat="1" applyFont="1" applyBorder="1" applyAlignment="1">
      <alignment horizontal="center" vertical="center" wrapText="1"/>
    </xf>
    <xf numFmtId="2" fontId="26" fillId="0" borderId="1" xfId="2" applyNumberFormat="1" applyFont="1" applyBorder="1" applyAlignment="1">
      <alignment horizontal="center" vertical="center"/>
    </xf>
    <xf numFmtId="2" fontId="29" fillId="0" borderId="1" xfId="2" applyNumberFormat="1" applyFont="1" applyBorder="1" applyAlignment="1" applyProtection="1">
      <alignment vertical="center"/>
      <protection locked="0"/>
    </xf>
    <xf numFmtId="2" fontId="15" fillId="0" borderId="0" xfId="2" applyNumberFormat="1" applyFont="1" applyAlignment="1">
      <alignment horizontal="center" vertical="top" wrapText="1"/>
    </xf>
    <xf numFmtId="2" fontId="15" fillId="0" borderId="0" xfId="2" applyNumberFormat="1" applyFont="1" applyAlignment="1">
      <alignment horizontal="center" vertical="top"/>
    </xf>
    <xf numFmtId="2" fontId="15" fillId="0" borderId="0" xfId="2" applyNumberFormat="1" applyFont="1" applyAlignment="1">
      <alignment horizontal="center" vertical="center"/>
    </xf>
    <xf numFmtId="164" fontId="26" fillId="0" borderId="1" xfId="2" applyNumberFormat="1" applyFont="1" applyBorder="1" applyAlignment="1">
      <alignment vertical="center" wrapText="1"/>
    </xf>
    <xf numFmtId="0" fontId="27" fillId="4" borderId="1" xfId="2" applyFont="1" applyFill="1" applyBorder="1" applyAlignment="1">
      <alignment horizontal="center" vertical="center" wrapText="1"/>
    </xf>
    <xf numFmtId="0" fontId="29" fillId="0" borderId="1" xfId="0" applyFont="1" applyBorder="1" applyAlignment="1">
      <alignment horizontal="center"/>
    </xf>
    <xf numFmtId="0" fontId="30" fillId="0" borderId="1" xfId="0" applyFont="1" applyBorder="1" applyAlignment="1">
      <alignment horizontal="center" vertical="center"/>
    </xf>
    <xf numFmtId="0" fontId="29" fillId="0" borderId="1" xfId="0" applyFont="1" applyBorder="1" applyAlignment="1">
      <alignment horizontal="center" vertical="center"/>
    </xf>
    <xf numFmtId="0" fontId="30" fillId="0" borderId="10" xfId="0" applyFont="1" applyBorder="1" applyAlignment="1">
      <alignment horizontal="center" vertical="center"/>
    </xf>
    <xf numFmtId="0" fontId="29" fillId="0" borderId="1" xfId="0" applyFont="1" applyBorder="1"/>
    <xf numFmtId="14" fontId="0" fillId="0" borderId="0" xfId="0" applyNumberFormat="1"/>
    <xf numFmtId="0" fontId="26" fillId="0" borderId="19" xfId="2" applyFont="1" applyBorder="1" applyAlignment="1">
      <alignment horizontal="center" vertical="center" wrapText="1"/>
    </xf>
    <xf numFmtId="164" fontId="0" fillId="0" borderId="0" xfId="1" applyFont="1"/>
    <xf numFmtId="164" fontId="26" fillId="4" borderId="1" xfId="1" applyFont="1" applyFill="1" applyBorder="1" applyAlignment="1" applyProtection="1">
      <alignment horizontal="center" vertical="center" wrapText="1"/>
    </xf>
    <xf numFmtId="1" fontId="26" fillId="4" borderId="1" xfId="1" applyNumberFormat="1" applyFont="1" applyFill="1" applyBorder="1" applyAlignment="1" applyProtection="1">
      <alignment horizontal="center" vertical="center" wrapText="1"/>
    </xf>
    <xf numFmtId="0" fontId="26" fillId="4" borderId="1" xfId="2" applyFont="1" applyFill="1" applyBorder="1" applyAlignment="1">
      <alignment vertical="center" wrapText="1"/>
    </xf>
    <xf numFmtId="0" fontId="27" fillId="4" borderId="1" xfId="2" applyFont="1" applyFill="1" applyBorder="1" applyAlignment="1">
      <alignment vertical="center" wrapText="1"/>
    </xf>
    <xf numFmtId="2" fontId="31" fillId="0" borderId="0" xfId="2" applyNumberFormat="1" applyFont="1" applyAlignment="1">
      <alignment horizontal="center" vertical="top" wrapText="1"/>
    </xf>
    <xf numFmtId="164" fontId="32" fillId="0" borderId="0" xfId="1" applyFont="1" applyAlignment="1">
      <alignment horizontal="center" vertical="center" wrapText="1"/>
    </xf>
    <xf numFmtId="164" fontId="27" fillId="5" borderId="1" xfId="1" applyFont="1" applyFill="1" applyBorder="1" applyAlignment="1" applyProtection="1">
      <alignment horizontal="left" vertical="center" wrapText="1"/>
    </xf>
    <xf numFmtId="164" fontId="33" fillId="0" borderId="0" xfId="1" applyFont="1" applyAlignment="1">
      <alignment vertical="center" wrapText="1"/>
    </xf>
    <xf numFmtId="164" fontId="33" fillId="0" borderId="0" xfId="1" applyFont="1" applyAlignment="1">
      <alignment horizontal="center" vertical="center" wrapText="1"/>
    </xf>
    <xf numFmtId="0" fontId="6" fillId="0" borderId="7" xfId="2" applyFont="1" applyBorder="1" applyAlignment="1">
      <alignment vertical="center" wrapText="1"/>
    </xf>
    <xf numFmtId="0" fontId="8" fillId="0" borderId="7" xfId="2" applyFont="1" applyBorder="1" applyAlignment="1">
      <alignment vertical="center" wrapText="1"/>
    </xf>
    <xf numFmtId="0" fontId="28" fillId="0" borderId="0" xfId="2" applyFont="1" applyAlignment="1">
      <alignment horizontal="left" vertical="top"/>
    </xf>
    <xf numFmtId="164" fontId="26" fillId="0" borderId="0" xfId="1" applyFont="1" applyAlignment="1">
      <alignment horizontal="center" vertical="center" wrapText="1"/>
    </xf>
    <xf numFmtId="164" fontId="28" fillId="0" borderId="0" xfId="1" applyFont="1" applyAlignment="1">
      <alignment horizontal="center" vertical="center" wrapText="1"/>
    </xf>
    <xf numFmtId="164" fontId="28" fillId="0" borderId="0" xfId="1" applyFont="1" applyFill="1" applyAlignment="1">
      <alignment horizontal="center" vertical="center" wrapText="1"/>
    </xf>
    <xf numFmtId="164" fontId="28" fillId="0" borderId="0" xfId="1" applyFont="1" applyAlignment="1">
      <alignment vertical="center" wrapText="1"/>
    </xf>
    <xf numFmtId="164" fontId="28" fillId="0" borderId="0" xfId="1" applyFont="1" applyFill="1" applyAlignment="1">
      <alignment vertical="center" wrapText="1"/>
    </xf>
    <xf numFmtId="0" fontId="27" fillId="2" borderId="0" xfId="2" applyFont="1" applyFill="1"/>
    <xf numFmtId="0" fontId="27" fillId="2" borderId="0" xfId="2" applyFont="1" applyFill="1" applyAlignment="1">
      <alignment horizontal="center" vertical="center" wrapText="1"/>
    </xf>
    <xf numFmtId="0" fontId="30" fillId="0" borderId="0" xfId="2" applyFont="1"/>
    <xf numFmtId="0" fontId="26" fillId="0" borderId="17" xfId="2" applyFont="1" applyBorder="1" applyAlignment="1">
      <alignment horizontal="center" vertical="center" wrapText="1"/>
    </xf>
    <xf numFmtId="164" fontId="34" fillId="4" borderId="1" xfId="1" applyFont="1" applyFill="1" applyBorder="1" applyAlignment="1" applyProtection="1">
      <alignment horizontal="left" vertical="center" wrapText="1"/>
    </xf>
    <xf numFmtId="164" fontId="34" fillId="5" borderId="1" xfId="1" applyFont="1" applyFill="1" applyBorder="1" applyAlignment="1" applyProtection="1">
      <alignment horizontal="left" vertical="center" wrapText="1"/>
    </xf>
    <xf numFmtId="164" fontId="28" fillId="5" borderId="0" xfId="1" applyFont="1" applyFill="1" applyAlignment="1">
      <alignment vertical="center" wrapText="1"/>
    </xf>
    <xf numFmtId="2" fontId="36" fillId="0" borderId="0" xfId="3" applyNumberFormat="1" applyFont="1" applyAlignment="1">
      <alignment horizontal="center" vertical="center"/>
    </xf>
    <xf numFmtId="164" fontId="27" fillId="0" borderId="0" xfId="1" applyFont="1" applyFill="1" applyBorder="1" applyAlignment="1" applyProtection="1">
      <alignment horizontal="left" vertical="center" wrapText="1"/>
    </xf>
    <xf numFmtId="164" fontId="26" fillId="0" borderId="7" xfId="2" applyNumberFormat="1" applyFont="1" applyBorder="1" applyAlignment="1">
      <alignment vertical="center" wrapText="1"/>
    </xf>
    <xf numFmtId="164" fontId="27" fillId="0" borderId="8" xfId="1" applyFont="1" applyFill="1" applyBorder="1" applyAlignment="1" applyProtection="1">
      <alignment horizontal="center" vertical="center" wrapText="1"/>
    </xf>
    <xf numFmtId="164" fontId="33" fillId="0" borderId="1" xfId="1" applyFont="1" applyBorder="1" applyAlignment="1">
      <alignment horizontal="center" vertical="center" wrapText="1"/>
    </xf>
    <xf numFmtId="0" fontId="28" fillId="0" borderId="1" xfId="2" applyFont="1" applyBorder="1" applyAlignment="1">
      <alignment horizontal="center" vertical="center"/>
    </xf>
    <xf numFmtId="164" fontId="28" fillId="0" borderId="1" xfId="2" applyNumberFormat="1" applyFont="1" applyBorder="1" applyAlignment="1">
      <alignment horizontal="center" vertical="center"/>
    </xf>
    <xf numFmtId="0" fontId="28" fillId="2" borderId="1" xfId="2" applyFont="1" applyFill="1" applyBorder="1" applyAlignment="1">
      <alignment horizontal="center" vertical="center"/>
    </xf>
    <xf numFmtId="0" fontId="27" fillId="2" borderId="1" xfId="2" applyFont="1" applyFill="1" applyBorder="1" applyAlignment="1">
      <alignment horizontal="center" vertical="center"/>
    </xf>
    <xf numFmtId="0" fontId="27" fillId="0" borderId="1" xfId="2" applyFont="1" applyBorder="1" applyAlignment="1">
      <alignment horizontal="center" vertical="center"/>
    </xf>
    <xf numFmtId="0" fontId="27" fillId="2" borderId="1" xfId="2" applyFont="1" applyFill="1" applyBorder="1" applyAlignment="1">
      <alignment horizontal="center" vertical="center" wrapText="1"/>
    </xf>
    <xf numFmtId="0" fontId="27" fillId="2" borderId="1" xfId="2" applyFont="1" applyFill="1" applyBorder="1"/>
    <xf numFmtId="0" fontId="23" fillId="2" borderId="1" xfId="2" applyFont="1" applyFill="1" applyBorder="1"/>
    <xf numFmtId="0" fontId="30" fillId="0" borderId="1" xfId="2" applyFont="1" applyBorder="1"/>
    <xf numFmtId="0" fontId="25" fillId="0" borderId="1" xfId="2" applyFont="1" applyBorder="1"/>
    <xf numFmtId="164" fontId="33" fillId="5" borderId="1" xfId="1" applyFont="1" applyFill="1" applyBorder="1" applyAlignment="1">
      <alignment horizontal="center" vertical="center" wrapText="1"/>
    </xf>
    <xf numFmtId="0" fontId="28" fillId="5" borderId="1" xfId="2" applyFont="1" applyFill="1" applyBorder="1" applyAlignment="1">
      <alignment horizontal="center" vertical="center"/>
    </xf>
    <xf numFmtId="0" fontId="27" fillId="5" borderId="1" xfId="2" applyFont="1" applyFill="1" applyBorder="1" applyAlignment="1">
      <alignment horizontal="center" vertical="center"/>
    </xf>
    <xf numFmtId="164" fontId="33" fillId="0" borderId="0" xfId="1" applyFont="1" applyBorder="1" applyAlignment="1">
      <alignment horizontal="center" vertical="center" wrapText="1"/>
    </xf>
    <xf numFmtId="0" fontId="28" fillId="0" borderId="0" xfId="2" applyFont="1" applyAlignment="1">
      <alignment horizontal="center" vertical="center"/>
    </xf>
    <xf numFmtId="164" fontId="28" fillId="0" borderId="0" xfId="2" applyNumberFormat="1" applyFont="1" applyAlignment="1">
      <alignment horizontal="center" vertical="center"/>
    </xf>
    <xf numFmtId="164" fontId="26" fillId="0" borderId="0" xfId="2" applyNumberFormat="1" applyFont="1" applyAlignment="1">
      <alignment vertical="center" wrapText="1"/>
    </xf>
    <xf numFmtId="164" fontId="28" fillId="0" borderId="4" xfId="2" applyNumberFormat="1" applyFont="1" applyBorder="1" applyAlignment="1">
      <alignment horizontal="center" vertical="center"/>
    </xf>
    <xf numFmtId="164" fontId="37" fillId="2" borderId="1" xfId="1" applyFont="1" applyFill="1" applyBorder="1" applyAlignment="1">
      <alignment horizontal="center" vertical="center" wrapText="1"/>
    </xf>
    <xf numFmtId="0" fontId="39" fillId="2" borderId="1" xfId="2" applyFont="1" applyFill="1" applyBorder="1" applyAlignment="1">
      <alignment horizontal="center" vertical="center" wrapText="1"/>
    </xf>
    <xf numFmtId="2" fontId="38" fillId="2" borderId="1" xfId="1" applyNumberFormat="1" applyFont="1" applyFill="1" applyBorder="1" applyAlignment="1" applyProtection="1">
      <alignment horizontal="center" vertical="center" wrapText="1"/>
    </xf>
    <xf numFmtId="0" fontId="43" fillId="2" borderId="1" xfId="0" applyFont="1" applyFill="1" applyBorder="1" applyAlignment="1">
      <alignment horizontal="center" vertical="center" wrapText="1"/>
    </xf>
    <xf numFmtId="0" fontId="39" fillId="2" borderId="1" xfId="2" applyFont="1" applyFill="1" applyBorder="1" applyAlignment="1">
      <alignment vertical="center" wrapText="1"/>
    </xf>
    <xf numFmtId="164" fontId="38" fillId="2" borderId="1" xfId="1" applyFont="1" applyFill="1" applyBorder="1" applyAlignment="1" applyProtection="1">
      <alignment horizontal="center" vertical="center" wrapText="1"/>
    </xf>
    <xf numFmtId="0" fontId="38" fillId="2" borderId="1" xfId="2" applyFont="1" applyFill="1" applyBorder="1" applyAlignment="1">
      <alignment vertical="center" wrapText="1"/>
    </xf>
    <xf numFmtId="1" fontId="39" fillId="2" borderId="9" xfId="2" applyNumberFormat="1" applyFont="1" applyFill="1" applyBorder="1" applyAlignment="1">
      <alignment vertical="center" wrapText="1" shrinkToFit="1"/>
    </xf>
    <xf numFmtId="1" fontId="39" fillId="2" borderId="11" xfId="2" applyNumberFormat="1" applyFont="1" applyFill="1" applyBorder="1" applyAlignment="1">
      <alignment vertical="center" wrapText="1" shrinkToFit="1"/>
    </xf>
    <xf numFmtId="0" fontId="39" fillId="2" borderId="8" xfId="2" applyFont="1" applyFill="1" applyBorder="1" applyAlignment="1">
      <alignment vertical="center" wrapText="1"/>
    </xf>
    <xf numFmtId="1" fontId="39" fillId="2" borderId="1" xfId="2" applyNumberFormat="1" applyFont="1" applyFill="1" applyBorder="1" applyAlignment="1">
      <alignment horizontal="center" vertical="center" wrapText="1" shrinkToFit="1"/>
    </xf>
    <xf numFmtId="1" fontId="39" fillId="2" borderId="1" xfId="2" applyNumberFormat="1" applyFont="1" applyFill="1" applyBorder="1" applyAlignment="1">
      <alignment horizontal="center" vertical="center" shrinkToFit="1"/>
    </xf>
    <xf numFmtId="1" fontId="39" fillId="2" borderId="10" xfId="2" applyNumberFormat="1" applyFont="1" applyFill="1" applyBorder="1" applyAlignment="1">
      <alignment vertical="center" wrapText="1" shrinkToFit="1"/>
    </xf>
    <xf numFmtId="43" fontId="20" fillId="2" borderId="1" xfId="2" applyNumberFormat="1" applyFont="1" applyFill="1" applyBorder="1" applyAlignment="1">
      <alignment vertical="center"/>
    </xf>
    <xf numFmtId="164" fontId="44" fillId="2" borderId="1" xfId="2" applyNumberFormat="1" applyFont="1" applyFill="1" applyBorder="1"/>
    <xf numFmtId="9" fontId="38" fillId="2" borderId="1" xfId="1" applyNumberFormat="1" applyFont="1" applyFill="1" applyBorder="1" applyAlignment="1" applyProtection="1">
      <alignment horizontal="center" vertical="center" wrapText="1"/>
    </xf>
    <xf numFmtId="0" fontId="39" fillId="0" borderId="0" xfId="2" applyFont="1" applyAlignment="1">
      <alignment horizontal="left" vertical="center" wrapText="1"/>
    </xf>
    <xf numFmtId="0" fontId="47" fillId="0" borderId="0" xfId="0" applyFont="1"/>
    <xf numFmtId="0" fontId="48" fillId="0" borderId="0" xfId="0" applyFont="1" applyAlignment="1">
      <alignment horizontal="center"/>
    </xf>
    <xf numFmtId="0" fontId="0" fillId="0" borderId="0" xfId="0" applyAlignment="1">
      <alignment horizontal="center" vertical="center"/>
    </xf>
    <xf numFmtId="0" fontId="0" fillId="0" borderId="6" xfId="0" applyBorder="1" applyAlignment="1">
      <alignment horizontal="center" vertical="center"/>
    </xf>
    <xf numFmtId="0" fontId="0" fillId="0" borderId="0" xfId="0" applyAlignment="1">
      <alignment horizontal="center" wrapText="1"/>
    </xf>
    <xf numFmtId="0" fontId="0" fillId="0" borderId="6" xfId="0" applyBorder="1" applyAlignment="1">
      <alignment horizontal="center" wrapText="1"/>
    </xf>
    <xf numFmtId="1" fontId="39" fillId="2" borderId="1" xfId="1" applyNumberFormat="1" applyFont="1" applyFill="1" applyBorder="1" applyAlignment="1" applyProtection="1">
      <alignment horizontal="center" vertical="center" wrapText="1"/>
    </xf>
    <xf numFmtId="0" fontId="40" fillId="2" borderId="2" xfId="0" applyFont="1" applyFill="1" applyBorder="1" applyAlignment="1">
      <alignment horizontal="center" vertical="center" wrapText="1"/>
    </xf>
    <xf numFmtId="0" fontId="40" fillId="2" borderId="27"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2" borderId="28" xfId="0" applyFont="1" applyFill="1" applyBorder="1" applyAlignment="1">
      <alignment horizontal="center" vertical="center" wrapText="1"/>
    </xf>
    <xf numFmtId="0" fontId="41" fillId="2" borderId="1" xfId="0" applyFont="1" applyFill="1" applyBorder="1" applyAlignment="1">
      <alignment horizontal="center" vertical="center" wrapText="1"/>
    </xf>
    <xf numFmtId="0" fontId="42" fillId="2" borderId="1" xfId="0" applyFont="1" applyFill="1" applyBorder="1" applyAlignment="1">
      <alignment vertical="center"/>
    </xf>
    <xf numFmtId="0" fontId="40" fillId="2" borderId="1" xfId="0" applyFont="1" applyFill="1" applyBorder="1" applyAlignment="1">
      <alignment horizontal="center" vertical="center" wrapText="1"/>
    </xf>
    <xf numFmtId="0" fontId="39" fillId="2" borderId="7" xfId="2" applyFont="1" applyFill="1" applyBorder="1" applyAlignment="1">
      <alignment horizontal="left" vertical="center" wrapText="1"/>
    </xf>
    <xf numFmtId="0" fontId="39" fillId="2" borderId="12" xfId="2" applyFont="1" applyFill="1" applyBorder="1" applyAlignment="1">
      <alignment horizontal="left" vertical="center" wrapText="1"/>
    </xf>
    <xf numFmtId="0" fontId="39" fillId="2" borderId="8" xfId="2" applyFont="1" applyFill="1" applyBorder="1" applyAlignment="1">
      <alignment horizontal="left" vertical="center" wrapText="1"/>
    </xf>
    <xf numFmtId="1" fontId="39" fillId="2" borderId="10" xfId="2" applyNumberFormat="1" applyFont="1" applyFill="1" applyBorder="1" applyAlignment="1">
      <alignment horizontal="center" vertical="center" shrinkToFit="1"/>
    </xf>
    <xf numFmtId="1" fontId="39" fillId="2" borderId="11" xfId="2" applyNumberFormat="1" applyFont="1" applyFill="1" applyBorder="1" applyAlignment="1">
      <alignment horizontal="center" vertical="center" shrinkToFit="1"/>
    </xf>
    <xf numFmtId="0" fontId="38" fillId="2" borderId="9" xfId="2" applyFont="1" applyFill="1" applyBorder="1" applyAlignment="1">
      <alignment horizontal="left" vertical="center" wrapText="1"/>
    </xf>
    <xf numFmtId="0" fontId="38" fillId="2" borderId="11" xfId="2" applyFont="1" applyFill="1" applyBorder="1" applyAlignment="1">
      <alignment horizontal="left" vertical="center" wrapText="1"/>
    </xf>
    <xf numFmtId="0" fontId="46" fillId="2" borderId="7" xfId="2" applyFont="1" applyFill="1" applyBorder="1" applyAlignment="1">
      <alignment horizontal="left" vertical="center"/>
    </xf>
    <xf numFmtId="0" fontId="46" fillId="2" borderId="8" xfId="2" applyFont="1" applyFill="1" applyBorder="1" applyAlignment="1">
      <alignment horizontal="left" vertical="center"/>
    </xf>
    <xf numFmtId="0" fontId="38" fillId="2" borderId="10" xfId="2" applyFont="1" applyFill="1" applyBorder="1" applyAlignment="1">
      <alignment horizontal="left" vertical="center" wrapText="1"/>
    </xf>
    <xf numFmtId="0" fontId="39" fillId="2" borderId="9" xfId="2" applyFont="1" applyFill="1" applyBorder="1" applyAlignment="1">
      <alignment horizontal="center" vertical="center" wrapText="1"/>
    </xf>
    <xf numFmtId="0" fontId="39" fillId="2" borderId="11" xfId="2" applyFont="1" applyFill="1" applyBorder="1" applyAlignment="1">
      <alignment horizontal="center" vertical="center" wrapText="1"/>
    </xf>
    <xf numFmtId="0" fontId="38" fillId="2" borderId="7" xfId="2" applyFont="1" applyFill="1" applyBorder="1" applyAlignment="1">
      <alignment horizontal="left" vertical="center" wrapText="1"/>
    </xf>
    <xf numFmtId="0" fontId="38" fillId="2" borderId="8" xfId="2" applyFont="1" applyFill="1" applyBorder="1" applyAlignment="1">
      <alignment horizontal="left" vertical="center" wrapText="1"/>
    </xf>
    <xf numFmtId="0" fontId="39" fillId="0" borderId="1" xfId="2" applyFont="1" applyBorder="1" applyAlignment="1">
      <alignment horizontal="left" vertical="center" wrapText="1"/>
    </xf>
    <xf numFmtId="0" fontId="39" fillId="2" borderId="7" xfId="2" applyFont="1" applyFill="1" applyBorder="1" applyAlignment="1">
      <alignment horizontal="center" vertical="center" wrapText="1"/>
    </xf>
    <xf numFmtId="0" fontId="39" fillId="2" borderId="12" xfId="2" applyFont="1" applyFill="1" applyBorder="1" applyAlignment="1">
      <alignment horizontal="center" vertical="center" wrapText="1"/>
    </xf>
    <xf numFmtId="0" fontId="39" fillId="2" borderId="8" xfId="2" applyFont="1" applyFill="1" applyBorder="1" applyAlignment="1">
      <alignment horizontal="center" vertical="center" wrapText="1"/>
    </xf>
    <xf numFmtId="0" fontId="2" fillId="0" borderId="4" xfId="0" applyFont="1" applyBorder="1" applyAlignment="1">
      <alignment horizontal="center" wrapText="1"/>
    </xf>
    <xf numFmtId="0" fontId="2" fillId="0" borderId="1" xfId="0" applyFont="1" applyBorder="1" applyAlignment="1">
      <alignment horizontal="right" vertical="center"/>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10" xfId="0" applyFont="1" applyBorder="1" applyAlignment="1">
      <alignment horizontal="center" vertical="center"/>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6"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6" fillId="0" borderId="9" xfId="0" applyFont="1" applyBorder="1" applyAlignment="1">
      <alignment horizontal="left" vertical="center" wrapText="1"/>
    </xf>
    <xf numFmtId="0" fontId="6" fillId="0" borderId="11" xfId="0" applyFont="1" applyBorder="1" applyAlignment="1">
      <alignment horizontal="left"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0" fontId="2" fillId="0" borderId="1" xfId="0" applyFont="1" applyBorder="1" applyAlignment="1">
      <alignment horizontal="center" vertical="center"/>
    </xf>
    <xf numFmtId="0" fontId="2" fillId="0" borderId="10" xfId="0" applyFont="1" applyBorder="1" applyAlignment="1">
      <alignment horizontal="left" vertical="center" wrapText="1"/>
    </xf>
    <xf numFmtId="0" fontId="7" fillId="0" borderId="10" xfId="0" applyFont="1" applyBorder="1" applyAlignment="1">
      <alignment horizontal="center" vertical="center"/>
    </xf>
    <xf numFmtId="2" fontId="4" fillId="0" borderId="7" xfId="0" applyNumberFormat="1" applyFont="1" applyBorder="1" applyAlignment="1">
      <alignment horizontal="center" vertical="center" wrapText="1"/>
    </xf>
    <xf numFmtId="2" fontId="4" fillId="0" borderId="8"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 xfId="0" applyFont="1" applyBorder="1" applyAlignment="1">
      <alignment horizontal="center" vertical="center" wrapText="1"/>
    </xf>
    <xf numFmtId="0" fontId="3" fillId="2" borderId="3" xfId="0" applyFont="1" applyFill="1" applyBorder="1" applyAlignment="1">
      <alignment horizontal="left" vertical="center" wrapText="1"/>
    </xf>
    <xf numFmtId="0" fontId="3" fillId="2" borderId="3" xfId="0" applyFont="1" applyFill="1" applyBorder="1" applyAlignment="1">
      <alignment horizontal="left" wrapText="1"/>
    </xf>
    <xf numFmtId="0" fontId="3" fillId="2" borderId="0" xfId="0" applyFont="1" applyFill="1" applyAlignment="1">
      <alignment horizontal="left" vertical="center" wrapText="1"/>
    </xf>
    <xf numFmtId="0" fontId="3" fillId="2" borderId="0" xfId="0" applyFont="1" applyFill="1" applyAlignment="1">
      <alignment horizontal="left" wrapText="1"/>
    </xf>
    <xf numFmtId="0" fontId="3" fillId="2" borderId="6" xfId="0" applyFont="1" applyFill="1" applyBorder="1" applyAlignment="1">
      <alignment horizontal="left" wrapText="1"/>
    </xf>
    <xf numFmtId="0" fontId="26" fillId="0" borderId="21" xfId="2" applyFont="1" applyBorder="1" applyAlignment="1">
      <alignment horizontal="center" vertical="center" wrapText="1"/>
    </xf>
    <xf numFmtId="0" fontId="26" fillId="0" borderId="22" xfId="2" applyFont="1" applyBorder="1" applyAlignment="1">
      <alignment horizontal="center" vertical="center" wrapText="1"/>
    </xf>
    <xf numFmtId="0" fontId="26" fillId="0" borderId="17" xfId="2" applyFont="1" applyBorder="1" applyAlignment="1">
      <alignment horizontal="center" vertical="center" wrapText="1"/>
    </xf>
    <xf numFmtId="0" fontId="26" fillId="0" borderId="19" xfId="2" applyFont="1" applyBorder="1" applyAlignment="1">
      <alignment horizontal="center" vertical="center" wrapText="1"/>
    </xf>
    <xf numFmtId="0" fontId="26" fillId="0" borderId="15" xfId="2" applyFont="1" applyBorder="1" applyAlignment="1">
      <alignment horizontal="left" vertical="center" wrapText="1"/>
    </xf>
    <xf numFmtId="0" fontId="26" fillId="0" borderId="12" xfId="2" applyFont="1" applyBorder="1" applyAlignment="1">
      <alignment horizontal="left" vertical="center" wrapText="1"/>
    </xf>
    <xf numFmtId="0" fontId="26" fillId="0" borderId="18" xfId="2" applyFont="1" applyBorder="1" applyAlignment="1">
      <alignment horizontal="center" vertical="center" wrapText="1"/>
    </xf>
    <xf numFmtId="164" fontId="19" fillId="0" borderId="0" xfId="1" applyFont="1" applyAlignment="1">
      <alignment horizontal="center" vertical="center" wrapText="1"/>
    </xf>
    <xf numFmtId="164" fontId="19" fillId="0" borderId="4" xfId="1" applyFont="1" applyBorder="1" applyAlignment="1">
      <alignment horizontal="center" vertical="center" wrapText="1"/>
    </xf>
    <xf numFmtId="1" fontId="26" fillId="0" borderId="17" xfId="2" applyNumberFormat="1" applyFont="1" applyBorder="1" applyAlignment="1">
      <alignment horizontal="center" vertical="center" wrapText="1" shrinkToFit="1"/>
    </xf>
    <xf numFmtId="1" fontId="26" fillId="0" borderId="19" xfId="2" applyNumberFormat="1" applyFont="1" applyBorder="1" applyAlignment="1">
      <alignment horizontal="center" vertical="center" wrapText="1" shrinkToFit="1"/>
    </xf>
    <xf numFmtId="10" fontId="22" fillId="0" borderId="0" xfId="1" applyNumberFormat="1" applyFont="1" applyAlignment="1">
      <alignment horizontal="center" vertical="center" wrapText="1"/>
    </xf>
    <xf numFmtId="1" fontId="26" fillId="0" borderId="18" xfId="2" applyNumberFormat="1" applyFont="1" applyBorder="1" applyAlignment="1">
      <alignment horizontal="center" vertical="center" wrapText="1" shrinkToFit="1"/>
    </xf>
    <xf numFmtId="0" fontId="13" fillId="0" borderId="13" xfId="2" applyFont="1" applyBorder="1" applyAlignment="1">
      <alignment horizontal="center" vertical="center" wrapText="1"/>
    </xf>
    <xf numFmtId="0" fontId="13" fillId="0" borderId="14" xfId="2" applyFont="1" applyBorder="1" applyAlignment="1">
      <alignment horizontal="center" vertical="center" wrapText="1"/>
    </xf>
    <xf numFmtId="0" fontId="22" fillId="0" borderId="0" xfId="1" applyNumberFormat="1" applyFont="1" applyAlignment="1">
      <alignment horizontal="center" vertical="center" wrapText="1"/>
    </xf>
    <xf numFmtId="164" fontId="33" fillId="0" borderId="1" xfId="1" applyFont="1" applyBorder="1" applyAlignment="1">
      <alignment horizontal="center" vertical="center" wrapText="1"/>
    </xf>
    <xf numFmtId="10" fontId="22" fillId="0" borderId="0" xfId="1" applyNumberFormat="1" applyFont="1" applyBorder="1" applyAlignment="1">
      <alignment horizontal="center" vertical="center" wrapText="1"/>
    </xf>
    <xf numFmtId="164" fontId="35" fillId="0" borderId="0" xfId="1" applyFont="1" applyAlignment="1">
      <alignment horizontal="center" vertical="center" wrapText="1"/>
    </xf>
    <xf numFmtId="0" fontId="29" fillId="0" borderId="1" xfId="0" applyFont="1" applyBorder="1" applyAlignment="1">
      <alignment horizontal="center"/>
    </xf>
  </cellXfs>
  <cellStyles count="5">
    <cellStyle name="Comma" xfId="1" builtinId="3"/>
    <cellStyle name="Normal" xfId="0" builtinId="0"/>
    <cellStyle name="Normal 2" xfId="4" xr:uid="{00000000-0005-0000-0000-000002000000}"/>
    <cellStyle name="Normal 2 2 2" xfId="3" xr:uid="{00000000-0005-0000-0000-000003000000}"/>
    <cellStyle name="Normal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3154883</xdr:colOff>
      <xdr:row>0</xdr:row>
      <xdr:rowOff>15684</xdr:rowOff>
    </xdr:from>
    <xdr:to>
      <xdr:col>1</xdr:col>
      <xdr:colOff>3154883</xdr:colOff>
      <xdr:row>1</xdr:row>
      <xdr:rowOff>22098</xdr:rowOff>
    </xdr:to>
    <xdr:pic>
      <xdr:nvPicPr>
        <xdr:cNvPr id="2" name="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27423" y="15684"/>
          <a:ext cx="0" cy="16675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3154883</xdr:colOff>
      <xdr:row>0</xdr:row>
      <xdr:rowOff>15684</xdr:rowOff>
    </xdr:from>
    <xdr:to>
      <xdr:col>1</xdr:col>
      <xdr:colOff>3154883</xdr:colOff>
      <xdr:row>1</xdr:row>
      <xdr:rowOff>22098</xdr:rowOff>
    </xdr:to>
    <xdr:pic>
      <xdr:nvPicPr>
        <xdr:cNvPr id="2" name="image1.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27423" y="15684"/>
          <a:ext cx="0" cy="16675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3154883</xdr:colOff>
      <xdr:row>5</xdr:row>
      <xdr:rowOff>0</xdr:rowOff>
    </xdr:from>
    <xdr:to>
      <xdr:col>2</xdr:col>
      <xdr:colOff>3166295</xdr:colOff>
      <xdr:row>156</xdr:row>
      <xdr:rowOff>118459</xdr:rowOff>
    </xdr:to>
    <xdr:pic>
      <xdr:nvPicPr>
        <xdr:cNvPr id="2" name="image1.png">
          <a:extLst>
            <a:ext uri="{FF2B5EF4-FFF2-40B4-BE49-F238E27FC236}">
              <a16:creationId xmlns:a16="http://schemas.microsoft.com/office/drawing/2014/main" id="{EBED3D2B-E5C5-4F53-BB88-01A6C94A2B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8523" y="1295844"/>
          <a:ext cx="11166" cy="165654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6"/>
  <sheetViews>
    <sheetView topLeftCell="A7" zoomScale="60" zoomScaleNormal="60" workbookViewId="0">
      <pane ySplit="2" topLeftCell="A150" activePane="bottomLeft" state="frozen"/>
      <selection activeCell="A7" sqref="A7"/>
      <selection pane="bottomLeft" activeCell="A9" sqref="A9:XFD9"/>
    </sheetView>
  </sheetViews>
  <sheetFormatPr defaultColWidth="9.140625" defaultRowHeight="15" x14ac:dyDescent="0.25"/>
  <cols>
    <col min="1" max="1" width="16.28515625" customWidth="1"/>
    <col min="2" max="2" width="27.42578125" customWidth="1"/>
    <col min="3" max="3" width="100.7109375" customWidth="1"/>
    <col min="4" max="4" width="13.140625" style="23" customWidth="1"/>
    <col min="5" max="5" width="8.28515625" customWidth="1"/>
    <col min="6" max="6" width="26.28515625" hidden="1" customWidth="1"/>
    <col min="7" max="7" width="17" style="24" bestFit="1" customWidth="1"/>
    <col min="8" max="9" width="14.28515625" style="25" customWidth="1"/>
    <col min="10" max="10" width="29.28515625" style="24" customWidth="1"/>
    <col min="11" max="11" width="13.42578125" customWidth="1"/>
    <col min="12" max="12" width="19.140625" bestFit="1" customWidth="1"/>
    <col min="13" max="13" width="13.42578125" customWidth="1"/>
  </cols>
  <sheetData>
    <row r="1" spans="1:13" ht="26.25" customHeight="1" x14ac:dyDescent="0.25">
      <c r="A1" s="249" t="s">
        <v>0</v>
      </c>
      <c r="B1" s="249"/>
      <c r="C1" s="249"/>
      <c r="D1" s="249"/>
      <c r="E1" s="249"/>
      <c r="F1" s="249"/>
      <c r="G1" s="249"/>
      <c r="H1" s="249"/>
      <c r="I1" s="249"/>
      <c r="J1" s="249"/>
    </row>
    <row r="2" spans="1:13" ht="18.75" x14ac:dyDescent="0.25">
      <c r="A2" s="1"/>
      <c r="B2" s="250" t="s">
        <v>1</v>
      </c>
      <c r="C2" s="250"/>
      <c r="D2" s="2"/>
      <c r="E2" s="3"/>
      <c r="F2" s="3"/>
      <c r="G2" s="4"/>
      <c r="H2" s="3"/>
      <c r="I2" s="251"/>
      <c r="J2" s="251"/>
    </row>
    <row r="3" spans="1:13" ht="18.75" customHeight="1" x14ac:dyDescent="0.25">
      <c r="A3" s="5"/>
      <c r="B3" s="252" t="s">
        <v>2</v>
      </c>
      <c r="C3" s="252"/>
      <c r="D3" s="6"/>
      <c r="E3" s="7"/>
      <c r="F3" s="7"/>
      <c r="G3" s="8"/>
      <c r="H3" s="7"/>
      <c r="I3" s="253"/>
      <c r="J3" s="253"/>
    </row>
    <row r="4" spans="1:13" ht="18.75" x14ac:dyDescent="0.3">
      <c r="A4" s="9"/>
      <c r="B4" s="254" t="s">
        <v>3</v>
      </c>
      <c r="C4" s="254"/>
      <c r="D4" s="10"/>
      <c r="E4" s="11"/>
      <c r="F4" s="11"/>
      <c r="G4" s="12"/>
      <c r="H4" s="11"/>
      <c r="I4" s="13"/>
      <c r="J4" s="12"/>
    </row>
    <row r="5" spans="1:13" ht="18.75" customHeight="1" x14ac:dyDescent="0.25">
      <c r="A5" s="247" t="s">
        <v>4</v>
      </c>
      <c r="B5" s="247"/>
      <c r="C5" s="247"/>
      <c r="D5" s="247"/>
      <c r="E5" s="247"/>
      <c r="F5" s="247"/>
      <c r="G5" s="247"/>
      <c r="H5" s="247"/>
      <c r="I5" s="247"/>
      <c r="J5" s="247"/>
    </row>
    <row r="6" spans="1:13" ht="18.75" customHeight="1" x14ac:dyDescent="0.25">
      <c r="A6" s="14"/>
      <c r="B6" s="14"/>
      <c r="C6" s="14"/>
      <c r="D6" s="14"/>
      <c r="E6" s="14"/>
      <c r="F6" s="14"/>
      <c r="G6" s="14"/>
      <c r="H6" s="14"/>
      <c r="I6" s="27"/>
      <c r="J6" s="28"/>
    </row>
    <row r="7" spans="1:13" s="16" customFormat="1" ht="18.75" x14ac:dyDescent="0.3">
      <c r="A7" s="15" t="s">
        <v>5</v>
      </c>
      <c r="B7" s="234" t="s">
        <v>6</v>
      </c>
      <c r="C7" s="248"/>
      <c r="D7" s="26"/>
      <c r="E7" s="15" t="s">
        <v>7</v>
      </c>
      <c r="F7" s="15" t="s">
        <v>8</v>
      </c>
      <c r="G7" s="28" t="s">
        <v>9</v>
      </c>
      <c r="H7" s="27" t="s">
        <v>10</v>
      </c>
      <c r="I7" s="245" t="s">
        <v>170</v>
      </c>
      <c r="J7" s="246"/>
      <c r="K7" s="245" t="s">
        <v>173</v>
      </c>
      <c r="L7" s="246"/>
      <c r="M7" s="219" t="s">
        <v>174</v>
      </c>
    </row>
    <row r="8" spans="1:13" s="18" customFormat="1" ht="23.25" x14ac:dyDescent="0.35">
      <c r="A8" s="242" t="s">
        <v>11</v>
      </c>
      <c r="B8" s="242"/>
      <c r="C8" s="242"/>
      <c r="D8" s="242"/>
      <c r="E8" s="242"/>
      <c r="F8" s="15"/>
      <c r="G8" s="17"/>
      <c r="H8" s="17"/>
      <c r="I8" s="15" t="s">
        <v>171</v>
      </c>
      <c r="J8" s="22" t="s">
        <v>172</v>
      </c>
      <c r="K8" s="15" t="s">
        <v>171</v>
      </c>
      <c r="L8" s="22" t="s">
        <v>172</v>
      </c>
      <c r="M8" s="219"/>
    </row>
    <row r="9" spans="1:13" ht="39" customHeight="1" x14ac:dyDescent="0.25">
      <c r="A9" s="15" t="s">
        <v>12</v>
      </c>
      <c r="B9" s="229" t="s">
        <v>13</v>
      </c>
      <c r="C9" s="230"/>
      <c r="D9" s="29"/>
      <c r="E9" s="30"/>
      <c r="F9" s="30"/>
      <c r="G9" s="31"/>
      <c r="H9" s="32"/>
      <c r="I9" s="32"/>
      <c r="J9" s="31"/>
      <c r="K9" s="30"/>
      <c r="L9" s="45"/>
    </row>
    <row r="10" spans="1:13" ht="56.25" x14ac:dyDescent="0.25">
      <c r="A10" s="238" t="s">
        <v>14</v>
      </c>
      <c r="B10" s="223" t="s">
        <v>15</v>
      </c>
      <c r="C10" s="33" t="s">
        <v>16</v>
      </c>
      <c r="D10" s="34">
        <v>0.6</v>
      </c>
      <c r="E10" s="30" t="s">
        <v>17</v>
      </c>
      <c r="F10" s="31">
        <f>D10*G10*H10</f>
        <v>2251468.7999999998</v>
      </c>
      <c r="G10" s="31">
        <v>446.72</v>
      </c>
      <c r="H10" s="35">
        <v>8400</v>
      </c>
      <c r="I10" s="32">
        <v>482.6</v>
      </c>
      <c r="J10" s="31">
        <f t="shared" ref="J10:J41" si="0">D10*G10*I10</f>
        <v>129352.2432</v>
      </c>
      <c r="K10" s="30"/>
      <c r="L10" s="31">
        <f>K10*G10*D10</f>
        <v>0</v>
      </c>
    </row>
    <row r="11" spans="1:13" ht="75" x14ac:dyDescent="0.25">
      <c r="A11" s="244"/>
      <c r="B11" s="243"/>
      <c r="C11" s="33" t="s">
        <v>18</v>
      </c>
      <c r="D11" s="34">
        <v>0.3</v>
      </c>
      <c r="E11" s="30" t="s">
        <v>17</v>
      </c>
      <c r="F11" s="31">
        <f t="shared" ref="F11:F74" si="1">D11*G11*H11</f>
        <v>1125734.3999999999</v>
      </c>
      <c r="G11" s="31">
        <v>446.72</v>
      </c>
      <c r="H11" s="35">
        <v>8400</v>
      </c>
      <c r="I11" s="32">
        <v>104.1</v>
      </c>
      <c r="J11" s="31">
        <f t="shared" si="0"/>
        <v>13951.065599999998</v>
      </c>
      <c r="K11" s="30"/>
      <c r="L11" s="31">
        <f t="shared" ref="L11:L74" si="2">K11*G11*D11</f>
        <v>0</v>
      </c>
    </row>
    <row r="12" spans="1:13" ht="37.5" x14ac:dyDescent="0.25">
      <c r="A12" s="244"/>
      <c r="B12" s="224"/>
      <c r="C12" s="33" t="s">
        <v>19</v>
      </c>
      <c r="D12" s="34">
        <v>0.1</v>
      </c>
      <c r="E12" s="30" t="s">
        <v>17</v>
      </c>
      <c r="F12" s="31">
        <f t="shared" si="1"/>
        <v>375244.80000000005</v>
      </c>
      <c r="G12" s="31">
        <v>446.72</v>
      </c>
      <c r="H12" s="35">
        <v>8400</v>
      </c>
      <c r="I12" s="32"/>
      <c r="J12" s="31">
        <f t="shared" si="0"/>
        <v>0</v>
      </c>
      <c r="K12" s="30"/>
      <c r="L12" s="31">
        <f t="shared" si="2"/>
        <v>0</v>
      </c>
    </row>
    <row r="13" spans="1:13" ht="56.25" x14ac:dyDescent="0.25">
      <c r="A13" s="238" t="s">
        <v>20</v>
      </c>
      <c r="B13" s="223" t="s">
        <v>21</v>
      </c>
      <c r="C13" s="33" t="s">
        <v>16</v>
      </c>
      <c r="D13" s="34">
        <v>0.6</v>
      </c>
      <c r="E13" s="30" t="s">
        <v>17</v>
      </c>
      <c r="F13" s="31">
        <f t="shared" si="1"/>
        <v>809121.6</v>
      </c>
      <c r="G13" s="31">
        <v>481.62</v>
      </c>
      <c r="H13" s="35">
        <v>2800</v>
      </c>
      <c r="I13" s="32">
        <v>1015.8</v>
      </c>
      <c r="J13" s="31">
        <f t="shared" si="0"/>
        <v>293537.75759999995</v>
      </c>
      <c r="K13" s="30"/>
      <c r="L13" s="31">
        <f t="shared" si="2"/>
        <v>0</v>
      </c>
    </row>
    <row r="14" spans="1:13" ht="75" x14ac:dyDescent="0.25">
      <c r="A14" s="244"/>
      <c r="B14" s="243"/>
      <c r="C14" s="33" t="s">
        <v>18</v>
      </c>
      <c r="D14" s="34">
        <v>0.3</v>
      </c>
      <c r="E14" s="30" t="s">
        <v>17</v>
      </c>
      <c r="F14" s="31">
        <f t="shared" si="1"/>
        <v>404560.8</v>
      </c>
      <c r="G14" s="31">
        <v>481.62</v>
      </c>
      <c r="H14" s="35">
        <v>2800</v>
      </c>
      <c r="I14" s="32">
        <v>245.5</v>
      </c>
      <c r="J14" s="31">
        <f t="shared" si="0"/>
        <v>35471.312999999995</v>
      </c>
      <c r="K14" s="30"/>
      <c r="L14" s="31">
        <f t="shared" si="2"/>
        <v>0</v>
      </c>
    </row>
    <row r="15" spans="1:13" ht="37.5" x14ac:dyDescent="0.25">
      <c r="A15" s="244"/>
      <c r="B15" s="224"/>
      <c r="C15" s="33" t="s">
        <v>19</v>
      </c>
      <c r="D15" s="34">
        <v>0.1</v>
      </c>
      <c r="E15" s="30" t="s">
        <v>17</v>
      </c>
      <c r="F15" s="31">
        <f t="shared" si="1"/>
        <v>134853.6</v>
      </c>
      <c r="G15" s="31">
        <v>481.62</v>
      </c>
      <c r="H15" s="35">
        <v>2800</v>
      </c>
      <c r="I15" s="32"/>
      <c r="J15" s="31">
        <f t="shared" si="0"/>
        <v>0</v>
      </c>
      <c r="K15" s="30"/>
      <c r="L15" s="31">
        <f t="shared" si="2"/>
        <v>0</v>
      </c>
    </row>
    <row r="16" spans="1:13" ht="38.25" customHeight="1" x14ac:dyDescent="0.25">
      <c r="A16" s="238" t="s">
        <v>22</v>
      </c>
      <c r="B16" s="223" t="s">
        <v>23</v>
      </c>
      <c r="C16" s="33" t="s">
        <v>16</v>
      </c>
      <c r="D16" s="34">
        <v>0.6</v>
      </c>
      <c r="E16" s="30" t="s">
        <v>17</v>
      </c>
      <c r="F16" s="31">
        <f t="shared" si="1"/>
        <v>938111.99999999988</v>
      </c>
      <c r="G16" s="31">
        <v>558.4</v>
      </c>
      <c r="H16" s="35">
        <v>2800</v>
      </c>
      <c r="I16" s="32"/>
      <c r="J16" s="31">
        <f t="shared" si="0"/>
        <v>0</v>
      </c>
      <c r="K16" s="30"/>
      <c r="L16" s="31">
        <f t="shared" si="2"/>
        <v>0</v>
      </c>
    </row>
    <row r="17" spans="1:12" ht="75" x14ac:dyDescent="0.25">
      <c r="A17" s="244"/>
      <c r="B17" s="243"/>
      <c r="C17" s="33" t="s">
        <v>18</v>
      </c>
      <c r="D17" s="34">
        <v>0.3</v>
      </c>
      <c r="E17" s="30" t="s">
        <v>17</v>
      </c>
      <c r="F17" s="31">
        <f t="shared" si="1"/>
        <v>469055.99999999994</v>
      </c>
      <c r="G17" s="31">
        <v>558.4</v>
      </c>
      <c r="H17" s="35">
        <v>2800</v>
      </c>
      <c r="I17" s="32"/>
      <c r="J17" s="31">
        <f t="shared" si="0"/>
        <v>0</v>
      </c>
      <c r="K17" s="30"/>
      <c r="L17" s="31">
        <f t="shared" si="2"/>
        <v>0</v>
      </c>
    </row>
    <row r="18" spans="1:12" ht="37.5" x14ac:dyDescent="0.25">
      <c r="A18" s="244"/>
      <c r="B18" s="224"/>
      <c r="C18" s="33" t="s">
        <v>19</v>
      </c>
      <c r="D18" s="34">
        <v>0.1</v>
      </c>
      <c r="E18" s="30" t="s">
        <v>17</v>
      </c>
      <c r="F18" s="31">
        <f t="shared" si="1"/>
        <v>156352</v>
      </c>
      <c r="G18" s="31">
        <v>558.4</v>
      </c>
      <c r="H18" s="35">
        <v>2800</v>
      </c>
      <c r="I18" s="32"/>
      <c r="J18" s="31">
        <f t="shared" si="0"/>
        <v>0</v>
      </c>
      <c r="K18" s="30"/>
      <c r="L18" s="31">
        <f t="shared" si="2"/>
        <v>0</v>
      </c>
    </row>
    <row r="19" spans="1:12" ht="39.75" customHeight="1" x14ac:dyDescent="0.25">
      <c r="A19" s="238" t="s">
        <v>24</v>
      </c>
      <c r="B19" s="223" t="s">
        <v>25</v>
      </c>
      <c r="C19" s="33" t="s">
        <v>16</v>
      </c>
      <c r="D19" s="34">
        <v>0.6</v>
      </c>
      <c r="E19" s="30" t="s">
        <v>17</v>
      </c>
      <c r="F19" s="31">
        <f t="shared" si="1"/>
        <v>301536</v>
      </c>
      <c r="G19" s="31">
        <v>628.20000000000005</v>
      </c>
      <c r="H19" s="35">
        <v>800</v>
      </c>
      <c r="I19" s="32"/>
      <c r="J19" s="31">
        <f t="shared" si="0"/>
        <v>0</v>
      </c>
      <c r="K19" s="30"/>
      <c r="L19" s="31">
        <f t="shared" si="2"/>
        <v>0</v>
      </c>
    </row>
    <row r="20" spans="1:12" ht="75" x14ac:dyDescent="0.25">
      <c r="A20" s="244"/>
      <c r="B20" s="243"/>
      <c r="C20" s="33" t="s">
        <v>18</v>
      </c>
      <c r="D20" s="34">
        <v>0.3</v>
      </c>
      <c r="E20" s="30" t="s">
        <v>17</v>
      </c>
      <c r="F20" s="31">
        <f t="shared" si="1"/>
        <v>150768</v>
      </c>
      <c r="G20" s="31">
        <v>628.20000000000005</v>
      </c>
      <c r="H20" s="35">
        <v>800</v>
      </c>
      <c r="I20" s="32"/>
      <c r="J20" s="31">
        <f t="shared" si="0"/>
        <v>0</v>
      </c>
      <c r="K20" s="30"/>
      <c r="L20" s="31">
        <f t="shared" si="2"/>
        <v>0</v>
      </c>
    </row>
    <row r="21" spans="1:12" ht="37.5" x14ac:dyDescent="0.25">
      <c r="A21" s="244"/>
      <c r="B21" s="224"/>
      <c r="C21" s="33" t="s">
        <v>19</v>
      </c>
      <c r="D21" s="34">
        <v>0.1</v>
      </c>
      <c r="E21" s="30" t="s">
        <v>17</v>
      </c>
      <c r="F21" s="31">
        <f t="shared" si="1"/>
        <v>50256.000000000007</v>
      </c>
      <c r="G21" s="31">
        <v>628.20000000000005</v>
      </c>
      <c r="H21" s="35">
        <v>800</v>
      </c>
      <c r="I21" s="32"/>
      <c r="J21" s="31">
        <f t="shared" si="0"/>
        <v>0</v>
      </c>
      <c r="K21" s="30"/>
      <c r="L21" s="31">
        <f t="shared" si="2"/>
        <v>0</v>
      </c>
    </row>
    <row r="22" spans="1:12" ht="18.75" x14ac:dyDescent="0.25">
      <c r="A22" s="15"/>
      <c r="B22" s="33"/>
      <c r="C22" s="33"/>
      <c r="D22" s="29"/>
      <c r="E22" s="30"/>
      <c r="F22" s="31">
        <f t="shared" si="1"/>
        <v>0</v>
      </c>
      <c r="G22" s="31"/>
      <c r="H22" s="36"/>
      <c r="I22" s="32"/>
      <c r="J22" s="31">
        <f t="shared" si="0"/>
        <v>0</v>
      </c>
      <c r="K22" s="30"/>
      <c r="L22" s="31">
        <f t="shared" si="2"/>
        <v>0</v>
      </c>
    </row>
    <row r="23" spans="1:12" ht="34.5" customHeight="1" x14ac:dyDescent="0.25">
      <c r="A23" s="15" t="s">
        <v>26</v>
      </c>
      <c r="B23" s="229" t="s">
        <v>27</v>
      </c>
      <c r="C23" s="230"/>
      <c r="D23" s="29"/>
      <c r="E23" s="30"/>
      <c r="F23" s="31">
        <f t="shared" si="1"/>
        <v>0</v>
      </c>
      <c r="G23" s="31"/>
      <c r="H23" s="32"/>
      <c r="I23" s="32"/>
      <c r="J23" s="31">
        <f t="shared" si="0"/>
        <v>0</v>
      </c>
      <c r="K23" s="30"/>
      <c r="L23" s="31">
        <f t="shared" si="2"/>
        <v>0</v>
      </c>
    </row>
    <row r="24" spans="1:12" ht="39" customHeight="1" x14ac:dyDescent="0.25">
      <c r="A24" s="221" t="s">
        <v>28</v>
      </c>
      <c r="B24" s="223" t="s">
        <v>29</v>
      </c>
      <c r="C24" s="33" t="s">
        <v>16</v>
      </c>
      <c r="D24" s="34">
        <v>0.6</v>
      </c>
      <c r="E24" s="30" t="s">
        <v>17</v>
      </c>
      <c r="F24" s="31">
        <f t="shared" si="1"/>
        <v>810796.79999999993</v>
      </c>
      <c r="G24" s="31">
        <v>1689.16</v>
      </c>
      <c r="H24" s="35">
        <v>800</v>
      </c>
      <c r="I24" s="32"/>
      <c r="J24" s="31">
        <f t="shared" si="0"/>
        <v>0</v>
      </c>
      <c r="K24" s="30"/>
      <c r="L24" s="31">
        <f t="shared" si="2"/>
        <v>0</v>
      </c>
    </row>
    <row r="25" spans="1:12" ht="56.25" customHeight="1" x14ac:dyDescent="0.25">
      <c r="A25" s="225"/>
      <c r="B25" s="243"/>
      <c r="C25" s="33" t="s">
        <v>18</v>
      </c>
      <c r="D25" s="34">
        <v>0.3</v>
      </c>
      <c r="E25" s="30" t="s">
        <v>17</v>
      </c>
      <c r="F25" s="31">
        <f t="shared" si="1"/>
        <v>405398.39999999997</v>
      </c>
      <c r="G25" s="31">
        <v>1689.16</v>
      </c>
      <c r="H25" s="35">
        <v>800</v>
      </c>
      <c r="I25" s="32"/>
      <c r="J25" s="31">
        <f t="shared" si="0"/>
        <v>0</v>
      </c>
      <c r="K25" s="30"/>
      <c r="L25" s="31">
        <f t="shared" si="2"/>
        <v>0</v>
      </c>
    </row>
    <row r="26" spans="1:12" ht="37.5" x14ac:dyDescent="0.25">
      <c r="A26" s="222"/>
      <c r="B26" s="224"/>
      <c r="C26" s="33" t="s">
        <v>19</v>
      </c>
      <c r="D26" s="34">
        <v>0.1</v>
      </c>
      <c r="E26" s="30" t="s">
        <v>17</v>
      </c>
      <c r="F26" s="31">
        <f t="shared" si="1"/>
        <v>135132.80000000002</v>
      </c>
      <c r="G26" s="31">
        <v>1689.16</v>
      </c>
      <c r="H26" s="35">
        <v>800</v>
      </c>
      <c r="I26" s="32"/>
      <c r="J26" s="31">
        <f t="shared" si="0"/>
        <v>0</v>
      </c>
      <c r="K26" s="30"/>
      <c r="L26" s="31">
        <f t="shared" si="2"/>
        <v>0</v>
      </c>
    </row>
    <row r="27" spans="1:12" ht="39" customHeight="1" x14ac:dyDescent="0.25">
      <c r="A27" s="221" t="s">
        <v>30</v>
      </c>
      <c r="B27" s="223" t="s">
        <v>31</v>
      </c>
      <c r="C27" s="33" t="s">
        <v>16</v>
      </c>
      <c r="D27" s="34">
        <v>0.6</v>
      </c>
      <c r="E27" s="30" t="s">
        <v>17</v>
      </c>
      <c r="F27" s="31">
        <f t="shared" si="1"/>
        <v>1661798.4000000001</v>
      </c>
      <c r="G27" s="31">
        <v>1731.04</v>
      </c>
      <c r="H27" s="35">
        <v>1600</v>
      </c>
      <c r="I27" s="32"/>
      <c r="J27" s="31">
        <f t="shared" si="0"/>
        <v>0</v>
      </c>
      <c r="K27" s="30"/>
      <c r="L27" s="31">
        <f t="shared" si="2"/>
        <v>0</v>
      </c>
    </row>
    <row r="28" spans="1:12" ht="54.75" customHeight="1" x14ac:dyDescent="0.25">
      <c r="A28" s="225"/>
      <c r="B28" s="243"/>
      <c r="C28" s="33" t="s">
        <v>18</v>
      </c>
      <c r="D28" s="34">
        <v>0.3</v>
      </c>
      <c r="E28" s="30" t="s">
        <v>17</v>
      </c>
      <c r="F28" s="31">
        <f t="shared" si="1"/>
        <v>830899.20000000007</v>
      </c>
      <c r="G28" s="31">
        <v>1731.04</v>
      </c>
      <c r="H28" s="35">
        <v>1600</v>
      </c>
      <c r="I28" s="32"/>
      <c r="J28" s="31">
        <f t="shared" si="0"/>
        <v>0</v>
      </c>
      <c r="K28" s="30"/>
      <c r="L28" s="31">
        <f t="shared" si="2"/>
        <v>0</v>
      </c>
    </row>
    <row r="29" spans="1:12" ht="37.5" x14ac:dyDescent="0.25">
      <c r="A29" s="222"/>
      <c r="B29" s="224"/>
      <c r="C29" s="33" t="s">
        <v>19</v>
      </c>
      <c r="D29" s="34">
        <v>0.1</v>
      </c>
      <c r="E29" s="30" t="s">
        <v>17</v>
      </c>
      <c r="F29" s="31">
        <f t="shared" si="1"/>
        <v>276966.40000000002</v>
      </c>
      <c r="G29" s="31">
        <v>1731.04</v>
      </c>
      <c r="H29" s="35">
        <v>1600</v>
      </c>
      <c r="I29" s="32"/>
      <c r="J29" s="31">
        <f t="shared" si="0"/>
        <v>0</v>
      </c>
      <c r="K29" s="30"/>
      <c r="L29" s="31">
        <f t="shared" si="2"/>
        <v>0</v>
      </c>
    </row>
    <row r="30" spans="1:12" ht="39.75" customHeight="1" x14ac:dyDescent="0.25">
      <c r="A30" s="221" t="s">
        <v>32</v>
      </c>
      <c r="B30" s="223" t="s">
        <v>33</v>
      </c>
      <c r="C30" s="33" t="s">
        <v>16</v>
      </c>
      <c r="D30" s="34">
        <v>0.6</v>
      </c>
      <c r="E30" s="30" t="s">
        <v>17</v>
      </c>
      <c r="F30" s="31">
        <f t="shared" si="1"/>
        <v>107547.84</v>
      </c>
      <c r="G30" s="31">
        <v>2240.58</v>
      </c>
      <c r="H30" s="35">
        <v>80</v>
      </c>
      <c r="I30" s="32"/>
      <c r="J30" s="31">
        <f t="shared" si="0"/>
        <v>0</v>
      </c>
      <c r="K30" s="30"/>
      <c r="L30" s="31">
        <f t="shared" si="2"/>
        <v>0</v>
      </c>
    </row>
    <row r="31" spans="1:12" ht="75" x14ac:dyDescent="0.25">
      <c r="A31" s="225"/>
      <c r="B31" s="243"/>
      <c r="C31" s="33" t="s">
        <v>18</v>
      </c>
      <c r="D31" s="34">
        <v>0.3</v>
      </c>
      <c r="E31" s="30" t="s">
        <v>17</v>
      </c>
      <c r="F31" s="31">
        <f t="shared" si="1"/>
        <v>53773.919999999998</v>
      </c>
      <c r="G31" s="31">
        <v>2240.58</v>
      </c>
      <c r="H31" s="35">
        <v>80</v>
      </c>
      <c r="I31" s="32"/>
      <c r="J31" s="31">
        <f t="shared" si="0"/>
        <v>0</v>
      </c>
      <c r="K31" s="30"/>
      <c r="L31" s="31">
        <f t="shared" si="2"/>
        <v>0</v>
      </c>
    </row>
    <row r="32" spans="1:12" ht="37.5" x14ac:dyDescent="0.25">
      <c r="A32" s="222"/>
      <c r="B32" s="224"/>
      <c r="C32" s="33" t="s">
        <v>19</v>
      </c>
      <c r="D32" s="34">
        <v>0.1</v>
      </c>
      <c r="E32" s="30" t="s">
        <v>17</v>
      </c>
      <c r="F32" s="31">
        <f t="shared" si="1"/>
        <v>17924.64</v>
      </c>
      <c r="G32" s="31">
        <v>2240.58</v>
      </c>
      <c r="H32" s="35">
        <v>80</v>
      </c>
      <c r="I32" s="32"/>
      <c r="J32" s="31">
        <f t="shared" si="0"/>
        <v>0</v>
      </c>
      <c r="K32" s="30"/>
      <c r="L32" s="31">
        <f t="shared" si="2"/>
        <v>0</v>
      </c>
    </row>
    <row r="33" spans="1:12" ht="39.75" customHeight="1" x14ac:dyDescent="0.25">
      <c r="A33" s="221" t="s">
        <v>34</v>
      </c>
      <c r="B33" s="223" t="s">
        <v>35</v>
      </c>
      <c r="C33" s="33" t="s">
        <v>16</v>
      </c>
      <c r="D33" s="34">
        <v>0.6</v>
      </c>
      <c r="E33" s="30" t="s">
        <v>17</v>
      </c>
      <c r="F33" s="31">
        <f t="shared" si="1"/>
        <v>109558.07999999999</v>
      </c>
      <c r="G33" s="31">
        <v>2282.46</v>
      </c>
      <c r="H33" s="35">
        <v>80</v>
      </c>
      <c r="I33" s="32"/>
      <c r="J33" s="31">
        <f t="shared" si="0"/>
        <v>0</v>
      </c>
      <c r="K33" s="30"/>
      <c r="L33" s="31">
        <f t="shared" si="2"/>
        <v>0</v>
      </c>
    </row>
    <row r="34" spans="1:12" ht="75" x14ac:dyDescent="0.25">
      <c r="A34" s="225"/>
      <c r="B34" s="243"/>
      <c r="C34" s="33" t="s">
        <v>18</v>
      </c>
      <c r="D34" s="34">
        <v>0.3</v>
      </c>
      <c r="E34" s="30" t="s">
        <v>17</v>
      </c>
      <c r="F34" s="31">
        <f t="shared" si="1"/>
        <v>54779.039999999994</v>
      </c>
      <c r="G34" s="31">
        <v>2282.46</v>
      </c>
      <c r="H34" s="35">
        <v>80</v>
      </c>
      <c r="I34" s="32"/>
      <c r="J34" s="31">
        <f t="shared" si="0"/>
        <v>0</v>
      </c>
      <c r="K34" s="30"/>
      <c r="L34" s="31">
        <f t="shared" si="2"/>
        <v>0</v>
      </c>
    </row>
    <row r="35" spans="1:12" ht="37.5" x14ac:dyDescent="0.25">
      <c r="A35" s="222"/>
      <c r="B35" s="224"/>
      <c r="C35" s="33" t="s">
        <v>19</v>
      </c>
      <c r="D35" s="34">
        <v>0.1</v>
      </c>
      <c r="E35" s="30" t="s">
        <v>17</v>
      </c>
      <c r="F35" s="31">
        <f t="shared" si="1"/>
        <v>18259.68</v>
      </c>
      <c r="G35" s="31">
        <v>2282.46</v>
      </c>
      <c r="H35" s="35">
        <v>80</v>
      </c>
      <c r="I35" s="32"/>
      <c r="J35" s="31">
        <f t="shared" si="0"/>
        <v>0</v>
      </c>
      <c r="K35" s="30"/>
      <c r="L35" s="31">
        <f t="shared" si="2"/>
        <v>0</v>
      </c>
    </row>
    <row r="36" spans="1:12" ht="18.75" x14ac:dyDescent="0.25">
      <c r="A36" s="30"/>
      <c r="B36" s="33"/>
      <c r="C36" s="33"/>
      <c r="D36" s="34"/>
      <c r="E36" s="30"/>
      <c r="F36" s="31">
        <f t="shared" si="1"/>
        <v>0</v>
      </c>
      <c r="G36" s="31"/>
      <c r="H36" s="35"/>
      <c r="I36" s="32"/>
      <c r="J36" s="31">
        <f t="shared" si="0"/>
        <v>0</v>
      </c>
      <c r="K36" s="30"/>
      <c r="L36" s="31">
        <f t="shared" si="2"/>
        <v>0</v>
      </c>
    </row>
    <row r="37" spans="1:12" ht="25.5" customHeight="1" x14ac:dyDescent="0.25">
      <c r="A37" s="238"/>
      <c r="B37" s="223" t="s">
        <v>36</v>
      </c>
      <c r="C37" s="33" t="s">
        <v>37</v>
      </c>
      <c r="D37" s="34">
        <v>0.9</v>
      </c>
      <c r="E37" s="30" t="s">
        <v>17</v>
      </c>
      <c r="F37" s="31">
        <f t="shared" si="1"/>
        <v>327166.56</v>
      </c>
      <c r="G37" s="31">
        <v>20.94</v>
      </c>
      <c r="H37" s="35">
        <v>17360</v>
      </c>
      <c r="I37" s="32">
        <v>59.8</v>
      </c>
      <c r="J37" s="31">
        <f t="shared" si="0"/>
        <v>1126.9908</v>
      </c>
      <c r="K37" s="30">
        <v>289.8</v>
      </c>
      <c r="L37" s="31">
        <f t="shared" si="2"/>
        <v>5461.5708000000004</v>
      </c>
    </row>
    <row r="38" spans="1:12" ht="35.25" customHeight="1" x14ac:dyDescent="0.25">
      <c r="A38" s="239"/>
      <c r="B38" s="224"/>
      <c r="C38" s="33" t="s">
        <v>38</v>
      </c>
      <c r="D38" s="34">
        <v>0.1</v>
      </c>
      <c r="E38" s="30" t="s">
        <v>17</v>
      </c>
      <c r="F38" s="31">
        <f t="shared" si="1"/>
        <v>36351.840000000004</v>
      </c>
      <c r="G38" s="31">
        <v>20.94</v>
      </c>
      <c r="H38" s="35">
        <v>17360</v>
      </c>
      <c r="I38" s="32"/>
      <c r="J38" s="31">
        <f t="shared" si="0"/>
        <v>0</v>
      </c>
      <c r="K38" s="30"/>
      <c r="L38" s="31">
        <f t="shared" si="2"/>
        <v>0</v>
      </c>
    </row>
    <row r="39" spans="1:12" ht="18.75" x14ac:dyDescent="0.25">
      <c r="A39" s="30"/>
      <c r="B39" s="33"/>
      <c r="C39" s="33"/>
      <c r="D39" s="29"/>
      <c r="E39" s="30"/>
      <c r="F39" s="31">
        <f t="shared" si="1"/>
        <v>0</v>
      </c>
      <c r="G39" s="31"/>
      <c r="H39" s="36"/>
      <c r="I39" s="32"/>
      <c r="J39" s="31">
        <f t="shared" si="0"/>
        <v>0</v>
      </c>
      <c r="K39" s="30"/>
      <c r="L39" s="31">
        <f t="shared" si="2"/>
        <v>0</v>
      </c>
    </row>
    <row r="40" spans="1:12" ht="18.75" x14ac:dyDescent="0.25">
      <c r="A40" s="15" t="s">
        <v>39</v>
      </c>
      <c r="B40" s="229" t="s">
        <v>40</v>
      </c>
      <c r="C40" s="230"/>
      <c r="D40" s="29"/>
      <c r="E40" s="30"/>
      <c r="F40" s="31">
        <f t="shared" si="1"/>
        <v>0</v>
      </c>
      <c r="G40" s="31"/>
      <c r="H40" s="32"/>
      <c r="I40" s="32"/>
      <c r="J40" s="31">
        <f t="shared" si="0"/>
        <v>0</v>
      </c>
      <c r="K40" s="30"/>
      <c r="L40" s="31">
        <f t="shared" si="2"/>
        <v>0</v>
      </c>
    </row>
    <row r="41" spans="1:12" ht="27" customHeight="1" x14ac:dyDescent="0.25">
      <c r="A41" s="238" t="s">
        <v>41</v>
      </c>
      <c r="B41" s="226" t="s">
        <v>40</v>
      </c>
      <c r="C41" s="33" t="s">
        <v>37</v>
      </c>
      <c r="D41" s="34">
        <v>0.9</v>
      </c>
      <c r="E41" s="30" t="s">
        <v>42</v>
      </c>
      <c r="F41" s="31">
        <f t="shared" si="1"/>
        <v>334202.40000000002</v>
      </c>
      <c r="G41" s="31">
        <v>928.34</v>
      </c>
      <c r="H41" s="35">
        <v>400</v>
      </c>
      <c r="I41" s="32">
        <v>84.664000000000001</v>
      </c>
      <c r="J41" s="31">
        <f t="shared" si="0"/>
        <v>70737.279984000008</v>
      </c>
      <c r="K41" s="30"/>
      <c r="L41" s="31">
        <f t="shared" si="2"/>
        <v>0</v>
      </c>
    </row>
    <row r="42" spans="1:12" ht="33" customHeight="1" x14ac:dyDescent="0.25">
      <c r="A42" s="239"/>
      <c r="B42" s="228"/>
      <c r="C42" s="33" t="s">
        <v>38</v>
      </c>
      <c r="D42" s="34">
        <v>0.1</v>
      </c>
      <c r="E42" s="30" t="s">
        <v>42</v>
      </c>
      <c r="F42" s="31">
        <f t="shared" si="1"/>
        <v>37133.599999999999</v>
      </c>
      <c r="G42" s="31">
        <v>928.34</v>
      </c>
      <c r="H42" s="35">
        <v>400</v>
      </c>
      <c r="I42" s="32"/>
      <c r="J42" s="31">
        <f t="shared" ref="J42:J73" si="3">D42*G42*I42</f>
        <v>0</v>
      </c>
      <c r="K42" s="30"/>
      <c r="L42" s="31">
        <f t="shared" si="2"/>
        <v>0</v>
      </c>
    </row>
    <row r="43" spans="1:12" ht="18.75" x14ac:dyDescent="0.25">
      <c r="A43" s="30"/>
      <c r="B43" s="33"/>
      <c r="C43" s="33"/>
      <c r="D43" s="29"/>
      <c r="E43" s="30"/>
      <c r="F43" s="31">
        <f t="shared" si="1"/>
        <v>0</v>
      </c>
      <c r="G43" s="31"/>
      <c r="H43" s="36"/>
      <c r="I43" s="32"/>
      <c r="J43" s="31">
        <f t="shared" si="3"/>
        <v>0</v>
      </c>
      <c r="K43" s="30"/>
      <c r="L43" s="31">
        <f t="shared" si="2"/>
        <v>0</v>
      </c>
    </row>
    <row r="44" spans="1:12" ht="18.75" x14ac:dyDescent="0.25">
      <c r="A44" s="15" t="s">
        <v>43</v>
      </c>
      <c r="B44" s="229" t="s">
        <v>44</v>
      </c>
      <c r="C44" s="230"/>
      <c r="D44" s="29"/>
      <c r="E44" s="30"/>
      <c r="F44" s="31">
        <f t="shared" si="1"/>
        <v>0</v>
      </c>
      <c r="G44" s="31"/>
      <c r="H44" s="32"/>
      <c r="I44" s="32"/>
      <c r="J44" s="31">
        <f t="shared" si="3"/>
        <v>0</v>
      </c>
      <c r="K44" s="30"/>
      <c r="L44" s="31">
        <f t="shared" si="2"/>
        <v>0</v>
      </c>
    </row>
    <row r="45" spans="1:12" ht="37.5" x14ac:dyDescent="0.25">
      <c r="A45" s="238" t="s">
        <v>45</v>
      </c>
      <c r="B45" s="226" t="s">
        <v>46</v>
      </c>
      <c r="C45" s="33" t="s">
        <v>37</v>
      </c>
      <c r="D45" s="34">
        <v>0.9</v>
      </c>
      <c r="E45" s="30" t="s">
        <v>47</v>
      </c>
      <c r="F45" s="31">
        <f t="shared" si="1"/>
        <v>93224.88</v>
      </c>
      <c r="G45" s="31">
        <v>369.94</v>
      </c>
      <c r="H45" s="35">
        <v>280</v>
      </c>
      <c r="I45" s="32"/>
      <c r="J45" s="31">
        <f t="shared" si="3"/>
        <v>0</v>
      </c>
      <c r="K45" s="30"/>
      <c r="L45" s="31">
        <f t="shared" si="2"/>
        <v>0</v>
      </c>
    </row>
    <row r="46" spans="1:12" ht="37.5" x14ac:dyDescent="0.25">
      <c r="A46" s="239"/>
      <c r="B46" s="228"/>
      <c r="C46" s="33" t="s">
        <v>38</v>
      </c>
      <c r="D46" s="34">
        <v>0.1</v>
      </c>
      <c r="E46" s="30" t="s">
        <v>47</v>
      </c>
      <c r="F46" s="31">
        <f t="shared" si="1"/>
        <v>10358.32</v>
      </c>
      <c r="G46" s="31">
        <v>369.94</v>
      </c>
      <c r="H46" s="35">
        <v>280</v>
      </c>
      <c r="I46" s="32"/>
      <c r="J46" s="31">
        <f t="shared" si="3"/>
        <v>0</v>
      </c>
      <c r="K46" s="30"/>
      <c r="L46" s="31">
        <f t="shared" si="2"/>
        <v>0</v>
      </c>
    </row>
    <row r="47" spans="1:12" ht="37.5" x14ac:dyDescent="0.25">
      <c r="A47" s="238" t="s">
        <v>48</v>
      </c>
      <c r="B47" s="226" t="s">
        <v>49</v>
      </c>
      <c r="C47" s="33" t="s">
        <v>37</v>
      </c>
      <c r="D47" s="34">
        <v>0.9</v>
      </c>
      <c r="E47" s="30" t="s">
        <v>47</v>
      </c>
      <c r="F47" s="31">
        <f t="shared" si="1"/>
        <v>132675.84</v>
      </c>
      <c r="G47" s="31">
        <v>1535.6</v>
      </c>
      <c r="H47" s="35">
        <v>96</v>
      </c>
      <c r="I47" s="32"/>
      <c r="J47" s="31">
        <f t="shared" si="3"/>
        <v>0</v>
      </c>
      <c r="K47" s="30"/>
      <c r="L47" s="31">
        <f t="shared" si="2"/>
        <v>0</v>
      </c>
    </row>
    <row r="48" spans="1:12" ht="37.5" x14ac:dyDescent="0.25">
      <c r="A48" s="239"/>
      <c r="B48" s="228"/>
      <c r="C48" s="33" t="s">
        <v>38</v>
      </c>
      <c r="D48" s="34">
        <v>0.1</v>
      </c>
      <c r="E48" s="30" t="s">
        <v>47</v>
      </c>
      <c r="F48" s="31">
        <f t="shared" si="1"/>
        <v>14741.76</v>
      </c>
      <c r="G48" s="31">
        <v>1535.6</v>
      </c>
      <c r="H48" s="35">
        <v>96</v>
      </c>
      <c r="I48" s="32"/>
      <c r="J48" s="31">
        <f t="shared" si="3"/>
        <v>0</v>
      </c>
      <c r="K48" s="30"/>
      <c r="L48" s="31">
        <f t="shared" si="2"/>
        <v>0</v>
      </c>
    </row>
    <row r="49" spans="1:12" ht="37.5" x14ac:dyDescent="0.25">
      <c r="A49" s="238" t="s">
        <v>50</v>
      </c>
      <c r="B49" s="226" t="s">
        <v>51</v>
      </c>
      <c r="C49" s="33" t="s">
        <v>37</v>
      </c>
      <c r="D49" s="34">
        <v>0.9</v>
      </c>
      <c r="E49" s="30" t="s">
        <v>47</v>
      </c>
      <c r="F49" s="31">
        <f t="shared" si="1"/>
        <v>301536</v>
      </c>
      <c r="G49" s="31">
        <v>209.4</v>
      </c>
      <c r="H49" s="35">
        <v>1600</v>
      </c>
      <c r="I49" s="32"/>
      <c r="J49" s="31">
        <f t="shared" si="3"/>
        <v>0</v>
      </c>
      <c r="K49" s="30"/>
      <c r="L49" s="31">
        <f t="shared" si="2"/>
        <v>0</v>
      </c>
    </row>
    <row r="50" spans="1:12" ht="37.5" x14ac:dyDescent="0.25">
      <c r="A50" s="239"/>
      <c r="B50" s="228"/>
      <c r="C50" s="33" t="s">
        <v>38</v>
      </c>
      <c r="D50" s="34">
        <v>0.1</v>
      </c>
      <c r="E50" s="30" t="s">
        <v>47</v>
      </c>
      <c r="F50" s="31">
        <f t="shared" si="1"/>
        <v>33504</v>
      </c>
      <c r="G50" s="31">
        <v>209.4</v>
      </c>
      <c r="H50" s="35">
        <v>1600</v>
      </c>
      <c r="I50" s="32"/>
      <c r="J50" s="31">
        <f t="shared" si="3"/>
        <v>0</v>
      </c>
      <c r="K50" s="30"/>
      <c r="L50" s="31">
        <f t="shared" si="2"/>
        <v>0</v>
      </c>
    </row>
    <row r="51" spans="1:12" ht="18.75" x14ac:dyDescent="0.25">
      <c r="A51" s="30"/>
      <c r="B51" s="39"/>
      <c r="C51" s="33"/>
      <c r="D51" s="29"/>
      <c r="E51" s="30"/>
      <c r="F51" s="31">
        <f t="shared" si="1"/>
        <v>0</v>
      </c>
      <c r="G51" s="31"/>
      <c r="H51" s="36"/>
      <c r="I51" s="32"/>
      <c r="J51" s="31">
        <f t="shared" si="3"/>
        <v>0</v>
      </c>
      <c r="K51" s="30"/>
      <c r="L51" s="31">
        <f t="shared" si="2"/>
        <v>0</v>
      </c>
    </row>
    <row r="52" spans="1:12" ht="18.75" x14ac:dyDescent="0.25">
      <c r="A52" s="15" t="s">
        <v>52</v>
      </c>
      <c r="B52" s="229" t="s">
        <v>53</v>
      </c>
      <c r="C52" s="230"/>
      <c r="D52" s="29"/>
      <c r="E52" s="30"/>
      <c r="F52" s="31">
        <f t="shared" si="1"/>
        <v>0</v>
      </c>
      <c r="G52" s="31"/>
      <c r="H52" s="32"/>
      <c r="I52" s="32"/>
      <c r="J52" s="31">
        <f t="shared" si="3"/>
        <v>0</v>
      </c>
      <c r="K52" s="30"/>
      <c r="L52" s="31">
        <f t="shared" si="2"/>
        <v>0</v>
      </c>
    </row>
    <row r="53" spans="1:12" ht="37.5" x14ac:dyDescent="0.25">
      <c r="A53" s="238" t="s">
        <v>54</v>
      </c>
      <c r="B53" s="240" t="s">
        <v>55</v>
      </c>
      <c r="C53" s="33" t="s">
        <v>37</v>
      </c>
      <c r="D53" s="34">
        <v>0.9</v>
      </c>
      <c r="E53" s="30" t="s">
        <v>56</v>
      </c>
      <c r="F53" s="31">
        <f t="shared" si="1"/>
        <v>87948.000000000015</v>
      </c>
      <c r="G53" s="31">
        <v>6.98</v>
      </c>
      <c r="H53" s="35">
        <v>14000</v>
      </c>
      <c r="I53" s="32">
        <v>1498.4</v>
      </c>
      <c r="J53" s="31">
        <f t="shared" si="3"/>
        <v>9412.9488000000019</v>
      </c>
      <c r="K53" s="30"/>
      <c r="L53" s="31">
        <f t="shared" si="2"/>
        <v>0</v>
      </c>
    </row>
    <row r="54" spans="1:12" ht="37.5" x14ac:dyDescent="0.25">
      <c r="A54" s="239"/>
      <c r="B54" s="241"/>
      <c r="C54" s="33" t="s">
        <v>38</v>
      </c>
      <c r="D54" s="34">
        <v>0.1</v>
      </c>
      <c r="E54" s="30" t="s">
        <v>56</v>
      </c>
      <c r="F54" s="31">
        <f t="shared" si="1"/>
        <v>9772</v>
      </c>
      <c r="G54" s="31">
        <v>6.98</v>
      </c>
      <c r="H54" s="35">
        <v>14000</v>
      </c>
      <c r="I54" s="32"/>
      <c r="J54" s="31">
        <f t="shared" si="3"/>
        <v>0</v>
      </c>
      <c r="K54" s="30"/>
      <c r="L54" s="31">
        <f t="shared" si="2"/>
        <v>0</v>
      </c>
    </row>
    <row r="55" spans="1:12" ht="37.5" x14ac:dyDescent="0.25">
      <c r="A55" s="238" t="s">
        <v>57</v>
      </c>
      <c r="B55" s="240" t="s">
        <v>58</v>
      </c>
      <c r="C55" s="33" t="s">
        <v>37</v>
      </c>
      <c r="D55" s="34">
        <v>0.9</v>
      </c>
      <c r="E55" s="30" t="s">
        <v>47</v>
      </c>
      <c r="F55" s="31">
        <f t="shared" si="1"/>
        <v>52768.80000000001</v>
      </c>
      <c r="G55" s="31">
        <v>146.58000000000001</v>
      </c>
      <c r="H55" s="35">
        <v>400</v>
      </c>
      <c r="I55" s="32"/>
      <c r="J55" s="31">
        <f t="shared" si="3"/>
        <v>0</v>
      </c>
      <c r="K55" s="30"/>
      <c r="L55" s="31">
        <f t="shared" si="2"/>
        <v>0</v>
      </c>
    </row>
    <row r="56" spans="1:12" ht="37.5" x14ac:dyDescent="0.25">
      <c r="A56" s="239"/>
      <c r="B56" s="241"/>
      <c r="C56" s="33" t="s">
        <v>38</v>
      </c>
      <c r="D56" s="34">
        <v>0.1</v>
      </c>
      <c r="E56" s="30" t="s">
        <v>47</v>
      </c>
      <c r="F56" s="31">
        <f t="shared" si="1"/>
        <v>5863.2000000000007</v>
      </c>
      <c r="G56" s="31">
        <v>146.58000000000001</v>
      </c>
      <c r="H56" s="35">
        <v>400</v>
      </c>
      <c r="I56" s="32"/>
      <c r="J56" s="31">
        <f t="shared" si="3"/>
        <v>0</v>
      </c>
      <c r="K56" s="30"/>
      <c r="L56" s="31">
        <f t="shared" si="2"/>
        <v>0</v>
      </c>
    </row>
    <row r="57" spans="1:12" ht="37.5" x14ac:dyDescent="0.25">
      <c r="A57" s="238" t="s">
        <v>59</v>
      </c>
      <c r="B57" s="240" t="s">
        <v>60</v>
      </c>
      <c r="C57" s="33" t="s">
        <v>37</v>
      </c>
      <c r="D57" s="34">
        <v>0.9</v>
      </c>
      <c r="E57" s="30" t="s">
        <v>47</v>
      </c>
      <c r="F57" s="31">
        <f t="shared" si="1"/>
        <v>12061.44</v>
      </c>
      <c r="G57" s="31">
        <v>167.52</v>
      </c>
      <c r="H57" s="35">
        <v>80</v>
      </c>
      <c r="I57" s="32"/>
      <c r="J57" s="31">
        <f t="shared" si="3"/>
        <v>0</v>
      </c>
      <c r="K57" s="30"/>
      <c r="L57" s="31">
        <f t="shared" si="2"/>
        <v>0</v>
      </c>
    </row>
    <row r="58" spans="1:12" ht="37.5" x14ac:dyDescent="0.25">
      <c r="A58" s="239"/>
      <c r="B58" s="241"/>
      <c r="C58" s="33" t="s">
        <v>38</v>
      </c>
      <c r="D58" s="34">
        <v>0.1</v>
      </c>
      <c r="E58" s="30" t="s">
        <v>47</v>
      </c>
      <c r="F58" s="31">
        <f t="shared" si="1"/>
        <v>1340.1600000000003</v>
      </c>
      <c r="G58" s="31">
        <v>167.52</v>
      </c>
      <c r="H58" s="35">
        <v>80</v>
      </c>
      <c r="I58" s="32"/>
      <c r="J58" s="31">
        <f t="shared" si="3"/>
        <v>0</v>
      </c>
      <c r="K58" s="30"/>
      <c r="L58" s="31">
        <f t="shared" si="2"/>
        <v>0</v>
      </c>
    </row>
    <row r="59" spans="1:12" ht="18.75" customHeight="1" x14ac:dyDescent="0.25">
      <c r="A59" s="234" t="s">
        <v>61</v>
      </c>
      <c r="B59" s="235"/>
      <c r="C59" s="235"/>
      <c r="D59" s="235"/>
      <c r="E59" s="235"/>
      <c r="F59" s="31"/>
      <c r="G59" s="14"/>
      <c r="H59" s="14"/>
      <c r="I59" s="14"/>
      <c r="J59" s="31">
        <f t="shared" si="3"/>
        <v>0</v>
      </c>
      <c r="K59" s="30"/>
      <c r="L59" s="31">
        <f t="shared" si="2"/>
        <v>0</v>
      </c>
    </row>
    <row r="60" spans="1:12" ht="18.75" x14ac:dyDescent="0.25">
      <c r="A60" s="242" t="s">
        <v>62</v>
      </c>
      <c r="B60" s="229" t="s">
        <v>63</v>
      </c>
      <c r="C60" s="230"/>
      <c r="D60" s="26"/>
      <c r="E60" s="30"/>
      <c r="F60" s="31"/>
      <c r="G60" s="31"/>
      <c r="H60" s="32"/>
      <c r="I60" s="32"/>
      <c r="J60" s="31">
        <f t="shared" si="3"/>
        <v>0</v>
      </c>
      <c r="K60" s="30"/>
      <c r="L60" s="31">
        <f t="shared" si="2"/>
        <v>0</v>
      </c>
    </row>
    <row r="61" spans="1:12" ht="18.75" x14ac:dyDescent="0.25">
      <c r="A61" s="242"/>
      <c r="B61" s="229" t="s">
        <v>64</v>
      </c>
      <c r="C61" s="230"/>
      <c r="D61" s="26"/>
      <c r="E61" s="30"/>
      <c r="F61" s="31"/>
      <c r="G61" s="31"/>
      <c r="H61" s="32"/>
      <c r="I61" s="32"/>
      <c r="J61" s="31">
        <f t="shared" si="3"/>
        <v>0</v>
      </c>
      <c r="K61" s="30"/>
      <c r="L61" s="31">
        <f t="shared" si="2"/>
        <v>0</v>
      </c>
    </row>
    <row r="62" spans="1:12" s="19" customFormat="1" ht="51" customHeight="1" x14ac:dyDescent="0.25">
      <c r="A62" s="221" t="s">
        <v>65</v>
      </c>
      <c r="B62" s="226" t="s">
        <v>66</v>
      </c>
      <c r="C62" s="33" t="s">
        <v>67</v>
      </c>
      <c r="D62" s="34">
        <v>0.8</v>
      </c>
      <c r="E62" s="30" t="s">
        <v>47</v>
      </c>
      <c r="F62" s="31">
        <f t="shared" si="1"/>
        <v>1031923.2000000002</v>
      </c>
      <c r="G62" s="31">
        <v>537.46</v>
      </c>
      <c r="H62" s="35">
        <v>2400</v>
      </c>
      <c r="I62" s="32"/>
      <c r="J62" s="31">
        <f t="shared" si="3"/>
        <v>0</v>
      </c>
      <c r="K62" s="30">
        <v>17</v>
      </c>
      <c r="L62" s="31">
        <f t="shared" si="2"/>
        <v>7309.4560000000001</v>
      </c>
    </row>
    <row r="63" spans="1:12" s="19" customFormat="1" ht="37.5" x14ac:dyDescent="0.25">
      <c r="A63" s="225"/>
      <c r="B63" s="227"/>
      <c r="C63" s="33" t="s">
        <v>68</v>
      </c>
      <c r="D63" s="34">
        <v>0.1</v>
      </c>
      <c r="E63" s="30" t="s">
        <v>47</v>
      </c>
      <c r="F63" s="31">
        <f t="shared" si="1"/>
        <v>128990.40000000002</v>
      </c>
      <c r="G63" s="31">
        <v>537.46</v>
      </c>
      <c r="H63" s="35">
        <v>2400</v>
      </c>
      <c r="I63" s="32"/>
      <c r="J63" s="31">
        <f t="shared" si="3"/>
        <v>0</v>
      </c>
      <c r="K63" s="30">
        <v>17</v>
      </c>
      <c r="L63" s="31">
        <f t="shared" si="2"/>
        <v>913.68200000000002</v>
      </c>
    </row>
    <row r="64" spans="1:12" s="19" customFormat="1" ht="37.5" x14ac:dyDescent="0.25">
      <c r="A64" s="222"/>
      <c r="B64" s="228"/>
      <c r="C64" s="33" t="s">
        <v>69</v>
      </c>
      <c r="D64" s="34">
        <v>0.1</v>
      </c>
      <c r="E64" s="30" t="s">
        <v>47</v>
      </c>
      <c r="F64" s="31">
        <f t="shared" si="1"/>
        <v>128990.40000000002</v>
      </c>
      <c r="G64" s="31">
        <v>537.46</v>
      </c>
      <c r="H64" s="35">
        <v>2400</v>
      </c>
      <c r="I64" s="32"/>
      <c r="J64" s="31">
        <f t="shared" si="3"/>
        <v>0</v>
      </c>
      <c r="K64" s="30"/>
      <c r="L64" s="31">
        <f t="shared" si="2"/>
        <v>0</v>
      </c>
    </row>
    <row r="65" spans="1:12" s="19" customFormat="1" ht="56.25" x14ac:dyDescent="0.25">
      <c r="A65" s="221" t="s">
        <v>70</v>
      </c>
      <c r="B65" s="226" t="s">
        <v>71</v>
      </c>
      <c r="C65" s="33" t="s">
        <v>67</v>
      </c>
      <c r="D65" s="34">
        <v>0.8</v>
      </c>
      <c r="E65" s="30" t="s">
        <v>17</v>
      </c>
      <c r="F65" s="31">
        <f t="shared" si="1"/>
        <v>7594240</v>
      </c>
      <c r="G65" s="31">
        <v>593.29999999999995</v>
      </c>
      <c r="H65" s="35">
        <v>16000</v>
      </c>
      <c r="I65" s="32"/>
      <c r="J65" s="31">
        <f t="shared" si="3"/>
        <v>0</v>
      </c>
      <c r="K65" s="30">
        <v>781.1</v>
      </c>
      <c r="L65" s="31">
        <f t="shared" si="2"/>
        <v>370741.304</v>
      </c>
    </row>
    <row r="66" spans="1:12" s="19" customFormat="1" ht="37.5" x14ac:dyDescent="0.25">
      <c r="A66" s="225"/>
      <c r="B66" s="227"/>
      <c r="C66" s="33" t="s">
        <v>68</v>
      </c>
      <c r="D66" s="34">
        <v>0.1</v>
      </c>
      <c r="E66" s="30" t="s">
        <v>17</v>
      </c>
      <c r="F66" s="31">
        <f t="shared" si="1"/>
        <v>949280</v>
      </c>
      <c r="G66" s="31">
        <v>593.29999999999995</v>
      </c>
      <c r="H66" s="35">
        <v>16000</v>
      </c>
      <c r="I66" s="32"/>
      <c r="J66" s="31">
        <f t="shared" si="3"/>
        <v>0</v>
      </c>
      <c r="K66" s="30">
        <v>781.1</v>
      </c>
      <c r="L66" s="31">
        <f t="shared" si="2"/>
        <v>46342.663</v>
      </c>
    </row>
    <row r="67" spans="1:12" s="19" customFormat="1" ht="37.5" x14ac:dyDescent="0.25">
      <c r="A67" s="222"/>
      <c r="B67" s="228"/>
      <c r="C67" s="33" t="s">
        <v>69</v>
      </c>
      <c r="D67" s="34">
        <v>0.1</v>
      </c>
      <c r="E67" s="30" t="s">
        <v>17</v>
      </c>
      <c r="F67" s="31">
        <f t="shared" si="1"/>
        <v>949280</v>
      </c>
      <c r="G67" s="31">
        <v>593.29999999999995</v>
      </c>
      <c r="H67" s="35">
        <v>16000</v>
      </c>
      <c r="I67" s="32"/>
      <c r="J67" s="31">
        <f t="shared" si="3"/>
        <v>0</v>
      </c>
      <c r="K67" s="30"/>
      <c r="L67" s="31">
        <f t="shared" si="2"/>
        <v>0</v>
      </c>
    </row>
    <row r="68" spans="1:12" s="19" customFormat="1" ht="56.25" x14ac:dyDescent="0.25">
      <c r="A68" s="221" t="s">
        <v>72</v>
      </c>
      <c r="B68" s="226" t="s">
        <v>73</v>
      </c>
      <c r="C68" s="33" t="s">
        <v>67</v>
      </c>
      <c r="D68" s="34">
        <v>0.8</v>
      </c>
      <c r="E68" s="30" t="s">
        <v>47</v>
      </c>
      <c r="F68" s="31">
        <f t="shared" si="1"/>
        <v>33504</v>
      </c>
      <c r="G68" s="31">
        <v>698</v>
      </c>
      <c r="H68" s="35">
        <v>60</v>
      </c>
      <c r="I68" s="32"/>
      <c r="J68" s="31">
        <f t="shared" si="3"/>
        <v>0</v>
      </c>
      <c r="K68" s="30"/>
      <c r="L68" s="31">
        <f t="shared" si="2"/>
        <v>0</v>
      </c>
    </row>
    <row r="69" spans="1:12" s="19" customFormat="1" ht="37.5" x14ac:dyDescent="0.25">
      <c r="A69" s="225"/>
      <c r="B69" s="227"/>
      <c r="C69" s="33" t="s">
        <v>68</v>
      </c>
      <c r="D69" s="34">
        <v>0.1</v>
      </c>
      <c r="E69" s="30" t="s">
        <v>47</v>
      </c>
      <c r="F69" s="31">
        <f t="shared" si="1"/>
        <v>4188</v>
      </c>
      <c r="G69" s="31">
        <v>698</v>
      </c>
      <c r="H69" s="35">
        <v>60</v>
      </c>
      <c r="I69" s="32"/>
      <c r="J69" s="31">
        <f t="shared" si="3"/>
        <v>0</v>
      </c>
      <c r="K69" s="30"/>
      <c r="L69" s="31">
        <f t="shared" si="2"/>
        <v>0</v>
      </c>
    </row>
    <row r="70" spans="1:12" s="19" customFormat="1" ht="37.5" x14ac:dyDescent="0.25">
      <c r="A70" s="222"/>
      <c r="B70" s="228"/>
      <c r="C70" s="33" t="s">
        <v>69</v>
      </c>
      <c r="D70" s="34">
        <v>0.1</v>
      </c>
      <c r="E70" s="30" t="s">
        <v>47</v>
      </c>
      <c r="F70" s="31">
        <f t="shared" si="1"/>
        <v>4188</v>
      </c>
      <c r="G70" s="31">
        <v>698</v>
      </c>
      <c r="H70" s="35">
        <v>60</v>
      </c>
      <c r="I70" s="32"/>
      <c r="J70" s="31">
        <f t="shared" si="3"/>
        <v>0</v>
      </c>
      <c r="K70" s="30"/>
      <c r="L70" s="31">
        <f t="shared" si="2"/>
        <v>0</v>
      </c>
    </row>
    <row r="71" spans="1:12" s="19" customFormat="1" ht="56.25" x14ac:dyDescent="0.25">
      <c r="A71" s="221" t="s">
        <v>74</v>
      </c>
      <c r="B71" s="226" t="s">
        <v>75</v>
      </c>
      <c r="C71" s="33" t="s">
        <v>67</v>
      </c>
      <c r="D71" s="34">
        <v>0.8</v>
      </c>
      <c r="E71" s="30" t="s">
        <v>17</v>
      </c>
      <c r="F71" s="31">
        <f t="shared" si="1"/>
        <v>1353561.6</v>
      </c>
      <c r="G71" s="31">
        <v>704.98</v>
      </c>
      <c r="H71" s="35">
        <v>2400</v>
      </c>
      <c r="I71" s="32"/>
      <c r="J71" s="31">
        <f t="shared" si="3"/>
        <v>0</v>
      </c>
      <c r="K71" s="30">
        <v>230.15</v>
      </c>
      <c r="L71" s="31">
        <f t="shared" si="2"/>
        <v>129800.9176</v>
      </c>
    </row>
    <row r="72" spans="1:12" s="19" customFormat="1" ht="37.5" x14ac:dyDescent="0.25">
      <c r="A72" s="225"/>
      <c r="B72" s="227"/>
      <c r="C72" s="33" t="s">
        <v>68</v>
      </c>
      <c r="D72" s="34">
        <v>0.1</v>
      </c>
      <c r="E72" s="30" t="s">
        <v>17</v>
      </c>
      <c r="F72" s="31">
        <f t="shared" si="1"/>
        <v>169195.2</v>
      </c>
      <c r="G72" s="31">
        <v>704.98</v>
      </c>
      <c r="H72" s="35">
        <v>2400</v>
      </c>
      <c r="I72" s="32"/>
      <c r="J72" s="31">
        <f t="shared" si="3"/>
        <v>0</v>
      </c>
      <c r="K72" s="30">
        <v>230.15</v>
      </c>
      <c r="L72" s="31">
        <f t="shared" si="2"/>
        <v>16225.1147</v>
      </c>
    </row>
    <row r="73" spans="1:12" s="19" customFormat="1" ht="37.5" x14ac:dyDescent="0.25">
      <c r="A73" s="222"/>
      <c r="B73" s="228"/>
      <c r="C73" s="33" t="s">
        <v>69</v>
      </c>
      <c r="D73" s="34">
        <v>0.1</v>
      </c>
      <c r="E73" s="30" t="s">
        <v>17</v>
      </c>
      <c r="F73" s="31">
        <f t="shared" si="1"/>
        <v>169195.2</v>
      </c>
      <c r="G73" s="31">
        <v>704.98</v>
      </c>
      <c r="H73" s="35">
        <v>2400</v>
      </c>
      <c r="I73" s="32"/>
      <c r="J73" s="31">
        <f t="shared" si="3"/>
        <v>0</v>
      </c>
      <c r="K73" s="30"/>
      <c r="L73" s="31">
        <f t="shared" si="2"/>
        <v>0</v>
      </c>
    </row>
    <row r="74" spans="1:12" s="19" customFormat="1" ht="56.25" x14ac:dyDescent="0.25">
      <c r="A74" s="221" t="s">
        <v>76</v>
      </c>
      <c r="B74" s="226" t="s">
        <v>77</v>
      </c>
      <c r="C74" s="33" t="s">
        <v>67</v>
      </c>
      <c r="D74" s="34">
        <v>0.8</v>
      </c>
      <c r="E74" s="30" t="s">
        <v>47</v>
      </c>
      <c r="F74" s="31">
        <f t="shared" si="1"/>
        <v>13401.6</v>
      </c>
      <c r="G74" s="31">
        <v>837.6</v>
      </c>
      <c r="H74" s="35">
        <v>20</v>
      </c>
      <c r="I74" s="32"/>
      <c r="J74" s="31">
        <f t="shared" ref="J74:J105" si="4">D74*G74*I74</f>
        <v>0</v>
      </c>
      <c r="K74" s="30"/>
      <c r="L74" s="31">
        <f t="shared" si="2"/>
        <v>0</v>
      </c>
    </row>
    <row r="75" spans="1:12" s="19" customFormat="1" ht="37.5" x14ac:dyDescent="0.25">
      <c r="A75" s="225"/>
      <c r="B75" s="227"/>
      <c r="C75" s="33" t="s">
        <v>68</v>
      </c>
      <c r="D75" s="34">
        <v>0.1</v>
      </c>
      <c r="E75" s="30" t="s">
        <v>47</v>
      </c>
      <c r="F75" s="31">
        <f t="shared" ref="F75:F137" si="5">D75*G75*H75</f>
        <v>1675.2</v>
      </c>
      <c r="G75" s="31">
        <v>837.6</v>
      </c>
      <c r="H75" s="35">
        <v>20</v>
      </c>
      <c r="I75" s="32"/>
      <c r="J75" s="31">
        <f t="shared" si="4"/>
        <v>0</v>
      </c>
      <c r="K75" s="30"/>
      <c r="L75" s="31">
        <f t="shared" ref="L75:L138" si="6">K75*G75*D75</f>
        <v>0</v>
      </c>
    </row>
    <row r="76" spans="1:12" s="19" customFormat="1" ht="37.5" x14ac:dyDescent="0.25">
      <c r="A76" s="222"/>
      <c r="B76" s="228"/>
      <c r="C76" s="33" t="s">
        <v>69</v>
      </c>
      <c r="D76" s="34">
        <v>0.1</v>
      </c>
      <c r="E76" s="30" t="s">
        <v>47</v>
      </c>
      <c r="F76" s="31">
        <f t="shared" si="5"/>
        <v>1675.2</v>
      </c>
      <c r="G76" s="31">
        <v>837.6</v>
      </c>
      <c r="H76" s="35">
        <v>20</v>
      </c>
      <c r="I76" s="32"/>
      <c r="J76" s="31">
        <f t="shared" si="4"/>
        <v>0</v>
      </c>
      <c r="K76" s="30"/>
      <c r="L76" s="31">
        <f t="shared" si="6"/>
        <v>0</v>
      </c>
    </row>
    <row r="77" spans="1:12" s="19" customFormat="1" ht="56.25" x14ac:dyDescent="0.25">
      <c r="A77" s="221" t="s">
        <v>78</v>
      </c>
      <c r="B77" s="226" t="s">
        <v>79</v>
      </c>
      <c r="C77" s="33" t="s">
        <v>67</v>
      </c>
      <c r="D77" s="34">
        <v>0.8</v>
      </c>
      <c r="E77" s="30" t="s">
        <v>17</v>
      </c>
      <c r="F77" s="31">
        <f t="shared" si="5"/>
        <v>135132.80000000002</v>
      </c>
      <c r="G77" s="31">
        <v>844.58</v>
      </c>
      <c r="H77" s="35">
        <v>200</v>
      </c>
      <c r="I77" s="32"/>
      <c r="J77" s="31">
        <f t="shared" si="4"/>
        <v>0</v>
      </c>
      <c r="K77" s="30"/>
      <c r="L77" s="31">
        <f t="shared" si="6"/>
        <v>0</v>
      </c>
    </row>
    <row r="78" spans="1:12" s="19" customFormat="1" ht="37.5" x14ac:dyDescent="0.25">
      <c r="A78" s="225"/>
      <c r="B78" s="227"/>
      <c r="C78" s="33" t="s">
        <v>68</v>
      </c>
      <c r="D78" s="34">
        <v>0.1</v>
      </c>
      <c r="E78" s="30" t="s">
        <v>17</v>
      </c>
      <c r="F78" s="31">
        <f t="shared" si="5"/>
        <v>16891.600000000002</v>
      </c>
      <c r="G78" s="31">
        <v>844.58</v>
      </c>
      <c r="H78" s="35">
        <v>200</v>
      </c>
      <c r="I78" s="32"/>
      <c r="J78" s="31">
        <f t="shared" si="4"/>
        <v>0</v>
      </c>
      <c r="K78" s="30"/>
      <c r="L78" s="31">
        <f t="shared" si="6"/>
        <v>0</v>
      </c>
    </row>
    <row r="79" spans="1:12" s="19" customFormat="1" ht="37.5" x14ac:dyDescent="0.25">
      <c r="A79" s="222"/>
      <c r="B79" s="228"/>
      <c r="C79" s="33" t="s">
        <v>69</v>
      </c>
      <c r="D79" s="34">
        <v>0.1</v>
      </c>
      <c r="E79" s="30" t="s">
        <v>17</v>
      </c>
      <c r="F79" s="31">
        <f t="shared" si="5"/>
        <v>16891.600000000002</v>
      </c>
      <c r="G79" s="31">
        <v>844.58</v>
      </c>
      <c r="H79" s="35">
        <v>200</v>
      </c>
      <c r="I79" s="32"/>
      <c r="J79" s="31">
        <f t="shared" si="4"/>
        <v>0</v>
      </c>
      <c r="K79" s="30"/>
      <c r="L79" s="31">
        <f t="shared" si="6"/>
        <v>0</v>
      </c>
    </row>
    <row r="80" spans="1:12" s="19" customFormat="1" ht="18.75" x14ac:dyDescent="0.25">
      <c r="A80" s="37"/>
      <c r="B80" s="38"/>
      <c r="C80" s="33"/>
      <c r="D80" s="29"/>
      <c r="E80" s="30"/>
      <c r="F80" s="31"/>
      <c r="G80" s="31"/>
      <c r="H80" s="35"/>
      <c r="I80" s="32"/>
      <c r="J80" s="31">
        <f t="shared" si="4"/>
        <v>0</v>
      </c>
      <c r="K80" s="30"/>
      <c r="L80" s="31">
        <f t="shared" si="6"/>
        <v>0</v>
      </c>
    </row>
    <row r="81" spans="1:12" ht="37.5" x14ac:dyDescent="0.25">
      <c r="A81" s="221"/>
      <c r="B81" s="223" t="s">
        <v>80</v>
      </c>
      <c r="C81" s="33" t="s">
        <v>37</v>
      </c>
      <c r="D81" s="34">
        <v>0.9</v>
      </c>
      <c r="E81" s="30" t="s">
        <v>17</v>
      </c>
      <c r="F81" s="31">
        <f t="shared" si="5"/>
        <v>1168452</v>
      </c>
      <c r="G81" s="31">
        <v>69.8</v>
      </c>
      <c r="H81" s="35">
        <v>18600</v>
      </c>
      <c r="I81" s="32"/>
      <c r="J81" s="31">
        <f t="shared" si="4"/>
        <v>0</v>
      </c>
      <c r="K81" s="30">
        <v>409.85</v>
      </c>
      <c r="L81" s="31">
        <f t="shared" si="6"/>
        <v>25746.776999999998</v>
      </c>
    </row>
    <row r="82" spans="1:12" ht="37.5" x14ac:dyDescent="0.25">
      <c r="A82" s="222"/>
      <c r="B82" s="224"/>
      <c r="C82" s="33" t="s">
        <v>38</v>
      </c>
      <c r="D82" s="34">
        <v>0.1</v>
      </c>
      <c r="E82" s="30" t="s">
        <v>17</v>
      </c>
      <c r="F82" s="31">
        <f t="shared" si="5"/>
        <v>129828.00000000001</v>
      </c>
      <c r="G82" s="31">
        <v>69.8</v>
      </c>
      <c r="H82" s="35">
        <v>18600</v>
      </c>
      <c r="I82" s="32"/>
      <c r="J82" s="31">
        <f t="shared" si="4"/>
        <v>0</v>
      </c>
      <c r="K82" s="30"/>
      <c r="L82" s="31">
        <f t="shared" si="6"/>
        <v>0</v>
      </c>
    </row>
    <row r="83" spans="1:12" ht="18.75" x14ac:dyDescent="0.25">
      <c r="A83" s="15"/>
      <c r="B83" s="40"/>
      <c r="C83" s="40"/>
      <c r="D83" s="26"/>
      <c r="E83" s="30"/>
      <c r="F83" s="31"/>
      <c r="G83" s="31"/>
      <c r="H83" s="36"/>
      <c r="I83" s="32"/>
      <c r="J83" s="31">
        <f t="shared" si="4"/>
        <v>0</v>
      </c>
      <c r="K83" s="30"/>
      <c r="L83" s="31">
        <f t="shared" si="6"/>
        <v>0</v>
      </c>
    </row>
    <row r="84" spans="1:12" ht="18.75" x14ac:dyDescent="0.25">
      <c r="A84" s="15" t="s">
        <v>81</v>
      </c>
      <c r="B84" s="229" t="s">
        <v>82</v>
      </c>
      <c r="C84" s="230"/>
      <c r="D84" s="26"/>
      <c r="E84" s="30"/>
      <c r="F84" s="31"/>
      <c r="G84" s="31"/>
      <c r="H84" s="32"/>
      <c r="I84" s="32"/>
      <c r="J84" s="31">
        <f t="shared" si="4"/>
        <v>0</v>
      </c>
      <c r="K84" s="30"/>
      <c r="L84" s="31">
        <f t="shared" si="6"/>
        <v>0</v>
      </c>
    </row>
    <row r="85" spans="1:12" ht="37.5" x14ac:dyDescent="0.25">
      <c r="A85" s="221" t="s">
        <v>83</v>
      </c>
      <c r="B85" s="223" t="s">
        <v>84</v>
      </c>
      <c r="C85" s="33" t="s">
        <v>37</v>
      </c>
      <c r="D85" s="34">
        <v>0.9</v>
      </c>
      <c r="E85" s="30" t="s">
        <v>47</v>
      </c>
      <c r="F85" s="31">
        <f t="shared" si="5"/>
        <v>417124.80000000005</v>
      </c>
      <c r="G85" s="31">
        <v>1158.68</v>
      </c>
      <c r="H85" s="35">
        <v>400</v>
      </c>
      <c r="I85" s="32"/>
      <c r="J85" s="31">
        <f t="shared" si="4"/>
        <v>0</v>
      </c>
      <c r="K85" s="30"/>
      <c r="L85" s="31">
        <f t="shared" si="6"/>
        <v>0</v>
      </c>
    </row>
    <row r="86" spans="1:12" ht="37.5" x14ac:dyDescent="0.25">
      <c r="A86" s="222"/>
      <c r="B86" s="224"/>
      <c r="C86" s="33" t="s">
        <v>38</v>
      </c>
      <c r="D86" s="34">
        <v>0.1</v>
      </c>
      <c r="E86" s="30" t="s">
        <v>47</v>
      </c>
      <c r="F86" s="31">
        <f t="shared" si="5"/>
        <v>46347.200000000004</v>
      </c>
      <c r="G86" s="31">
        <v>1158.68</v>
      </c>
      <c r="H86" s="35">
        <v>400</v>
      </c>
      <c r="I86" s="32"/>
      <c r="J86" s="31">
        <f t="shared" si="4"/>
        <v>0</v>
      </c>
      <c r="K86" s="30"/>
      <c r="L86" s="31">
        <f t="shared" si="6"/>
        <v>0</v>
      </c>
    </row>
    <row r="87" spans="1:12" ht="37.5" x14ac:dyDescent="0.25">
      <c r="A87" s="221" t="s">
        <v>85</v>
      </c>
      <c r="B87" s="223" t="s">
        <v>86</v>
      </c>
      <c r="C87" s="33" t="s">
        <v>37</v>
      </c>
      <c r="D87" s="34">
        <v>0.9</v>
      </c>
      <c r="E87" s="30" t="s">
        <v>47</v>
      </c>
      <c r="F87" s="31">
        <f t="shared" si="5"/>
        <v>909633.60000000009</v>
      </c>
      <c r="G87" s="31">
        <v>1263.3800000000001</v>
      </c>
      <c r="H87" s="35">
        <v>800</v>
      </c>
      <c r="I87" s="32">
        <v>2</v>
      </c>
      <c r="J87" s="31">
        <f t="shared" si="4"/>
        <v>2274.0840000000003</v>
      </c>
      <c r="K87" s="30">
        <v>17</v>
      </c>
      <c r="L87" s="31">
        <f t="shared" si="6"/>
        <v>19329.714000000004</v>
      </c>
    </row>
    <row r="88" spans="1:12" ht="37.5" x14ac:dyDescent="0.25">
      <c r="A88" s="222"/>
      <c r="B88" s="224"/>
      <c r="C88" s="33" t="s">
        <v>38</v>
      </c>
      <c r="D88" s="34">
        <v>0.1</v>
      </c>
      <c r="E88" s="30" t="s">
        <v>47</v>
      </c>
      <c r="F88" s="31">
        <f t="shared" si="5"/>
        <v>101070.40000000002</v>
      </c>
      <c r="G88" s="31">
        <v>1263.3800000000001</v>
      </c>
      <c r="H88" s="35">
        <v>800</v>
      </c>
      <c r="I88" s="32"/>
      <c r="J88" s="31">
        <f t="shared" si="4"/>
        <v>0</v>
      </c>
      <c r="K88" s="30"/>
      <c r="L88" s="31">
        <f t="shared" si="6"/>
        <v>0</v>
      </c>
    </row>
    <row r="89" spans="1:12" ht="18.75" x14ac:dyDescent="0.25">
      <c r="A89" s="37"/>
      <c r="B89" s="41"/>
      <c r="C89" s="40"/>
      <c r="D89" s="26"/>
      <c r="E89" s="30"/>
      <c r="F89" s="31"/>
      <c r="G89" s="31"/>
      <c r="H89" s="36"/>
      <c r="I89" s="32"/>
      <c r="J89" s="31">
        <f t="shared" si="4"/>
        <v>0</v>
      </c>
      <c r="K89" s="30"/>
      <c r="L89" s="31">
        <f t="shared" si="6"/>
        <v>0</v>
      </c>
    </row>
    <row r="90" spans="1:12" ht="18.75" x14ac:dyDescent="0.25">
      <c r="A90" s="15" t="s">
        <v>87</v>
      </c>
      <c r="B90" s="229" t="s">
        <v>88</v>
      </c>
      <c r="C90" s="230"/>
      <c r="D90" s="26"/>
      <c r="E90" s="30"/>
      <c r="F90" s="31"/>
      <c r="G90" s="31"/>
      <c r="H90" s="32"/>
      <c r="I90" s="32"/>
      <c r="J90" s="31">
        <f t="shared" si="4"/>
        <v>0</v>
      </c>
      <c r="K90" s="30"/>
      <c r="L90" s="31">
        <f t="shared" si="6"/>
        <v>0</v>
      </c>
    </row>
    <row r="91" spans="1:12" ht="37.5" x14ac:dyDescent="0.25">
      <c r="A91" s="221" t="s">
        <v>89</v>
      </c>
      <c r="B91" s="226" t="s">
        <v>90</v>
      </c>
      <c r="C91" s="33" t="s">
        <v>37</v>
      </c>
      <c r="D91" s="34">
        <v>0.9</v>
      </c>
      <c r="E91" s="30" t="s">
        <v>17</v>
      </c>
      <c r="F91" s="31">
        <f t="shared" si="5"/>
        <v>1394604</v>
      </c>
      <c r="G91" s="31">
        <v>258.26</v>
      </c>
      <c r="H91" s="35">
        <v>6000</v>
      </c>
      <c r="I91" s="32">
        <v>4.4000000000000004</v>
      </c>
      <c r="J91" s="31">
        <f t="shared" si="4"/>
        <v>1022.7096</v>
      </c>
      <c r="K91" s="30">
        <v>20.2</v>
      </c>
      <c r="L91" s="31">
        <f t="shared" si="6"/>
        <v>4695.1668</v>
      </c>
    </row>
    <row r="92" spans="1:12" ht="37.5" x14ac:dyDescent="0.25">
      <c r="A92" s="222"/>
      <c r="B92" s="228"/>
      <c r="C92" s="33" t="s">
        <v>38</v>
      </c>
      <c r="D92" s="34">
        <v>0.1</v>
      </c>
      <c r="E92" s="30" t="s">
        <v>17</v>
      </c>
      <c r="F92" s="31">
        <f t="shared" si="5"/>
        <v>154956</v>
      </c>
      <c r="G92" s="31">
        <v>258.26</v>
      </c>
      <c r="H92" s="35">
        <v>6000</v>
      </c>
      <c r="I92" s="32"/>
      <c r="J92" s="31">
        <f t="shared" si="4"/>
        <v>0</v>
      </c>
      <c r="K92" s="30"/>
      <c r="L92" s="31">
        <f t="shared" si="6"/>
        <v>0</v>
      </c>
    </row>
    <row r="93" spans="1:12" ht="37.5" x14ac:dyDescent="0.25">
      <c r="A93" s="221" t="s">
        <v>91</v>
      </c>
      <c r="B93" s="226" t="s">
        <v>92</v>
      </c>
      <c r="C93" s="33" t="s">
        <v>37</v>
      </c>
      <c r="D93" s="34">
        <v>0.9</v>
      </c>
      <c r="E93" s="30" t="s">
        <v>17</v>
      </c>
      <c r="F93" s="31">
        <f t="shared" si="5"/>
        <v>502560</v>
      </c>
      <c r="G93" s="31">
        <v>279.2</v>
      </c>
      <c r="H93" s="35">
        <v>2000</v>
      </c>
      <c r="I93" s="32">
        <v>3.1</v>
      </c>
      <c r="J93" s="31">
        <f t="shared" si="4"/>
        <v>778.96800000000007</v>
      </c>
      <c r="K93" s="30">
        <v>23.8</v>
      </c>
      <c r="L93" s="31">
        <f t="shared" si="6"/>
        <v>5980.4639999999999</v>
      </c>
    </row>
    <row r="94" spans="1:12" ht="37.5" x14ac:dyDescent="0.25">
      <c r="A94" s="222"/>
      <c r="B94" s="228"/>
      <c r="C94" s="33" t="s">
        <v>38</v>
      </c>
      <c r="D94" s="34">
        <v>0.1</v>
      </c>
      <c r="E94" s="30" t="s">
        <v>17</v>
      </c>
      <c r="F94" s="31">
        <f t="shared" si="5"/>
        <v>55840</v>
      </c>
      <c r="G94" s="31">
        <v>279.2</v>
      </c>
      <c r="H94" s="35">
        <v>2000</v>
      </c>
      <c r="I94" s="32"/>
      <c r="J94" s="31">
        <f t="shared" si="4"/>
        <v>0</v>
      </c>
      <c r="K94" s="30"/>
      <c r="L94" s="31">
        <f t="shared" si="6"/>
        <v>0</v>
      </c>
    </row>
    <row r="95" spans="1:12" ht="18.75" x14ac:dyDescent="0.25">
      <c r="A95" s="15"/>
      <c r="B95" s="33"/>
      <c r="C95" s="33"/>
      <c r="D95" s="29"/>
      <c r="E95" s="30"/>
      <c r="F95" s="31"/>
      <c r="G95" s="31"/>
      <c r="H95" s="36"/>
      <c r="I95" s="32"/>
      <c r="J95" s="31">
        <f t="shared" si="4"/>
        <v>0</v>
      </c>
      <c r="K95" s="30"/>
      <c r="L95" s="31">
        <f t="shared" si="6"/>
        <v>0</v>
      </c>
    </row>
    <row r="96" spans="1:12" ht="30" customHeight="1" x14ac:dyDescent="0.25">
      <c r="A96" s="15" t="s">
        <v>93</v>
      </c>
      <c r="B96" s="229" t="s">
        <v>94</v>
      </c>
      <c r="C96" s="230"/>
      <c r="D96" s="26"/>
      <c r="E96" s="30"/>
      <c r="F96" s="31"/>
      <c r="G96" s="31"/>
      <c r="H96" s="32"/>
      <c r="I96" s="32"/>
      <c r="J96" s="31">
        <f t="shared" si="4"/>
        <v>0</v>
      </c>
      <c r="K96" s="30"/>
      <c r="L96" s="31">
        <f t="shared" si="6"/>
        <v>0</v>
      </c>
    </row>
    <row r="97" spans="1:12" ht="37.5" x14ac:dyDescent="0.25">
      <c r="A97" s="221" t="s">
        <v>95</v>
      </c>
      <c r="B97" s="226" t="s">
        <v>96</v>
      </c>
      <c r="C97" s="33" t="s">
        <v>37</v>
      </c>
      <c r="D97" s="34">
        <v>0.9</v>
      </c>
      <c r="E97" s="30" t="s">
        <v>97</v>
      </c>
      <c r="F97" s="31">
        <f t="shared" si="5"/>
        <v>110563.20000000001</v>
      </c>
      <c r="G97" s="31">
        <v>153.56</v>
      </c>
      <c r="H97" s="35">
        <v>800</v>
      </c>
      <c r="I97" s="32">
        <v>39</v>
      </c>
      <c r="J97" s="31">
        <f t="shared" si="4"/>
        <v>5389.9560000000001</v>
      </c>
      <c r="K97" s="30">
        <v>17</v>
      </c>
      <c r="L97" s="31">
        <f t="shared" si="6"/>
        <v>2349.4679999999998</v>
      </c>
    </row>
    <row r="98" spans="1:12" ht="37.5" x14ac:dyDescent="0.25">
      <c r="A98" s="222"/>
      <c r="B98" s="228"/>
      <c r="C98" s="33" t="s">
        <v>38</v>
      </c>
      <c r="D98" s="34">
        <v>0.1</v>
      </c>
      <c r="E98" s="30" t="s">
        <v>97</v>
      </c>
      <c r="F98" s="31">
        <f t="shared" si="5"/>
        <v>12284.800000000001</v>
      </c>
      <c r="G98" s="31">
        <v>153.56</v>
      </c>
      <c r="H98" s="35">
        <v>800</v>
      </c>
      <c r="I98" s="32"/>
      <c r="J98" s="31">
        <f t="shared" si="4"/>
        <v>0</v>
      </c>
      <c r="K98" s="30"/>
      <c r="L98" s="31">
        <f t="shared" si="6"/>
        <v>0</v>
      </c>
    </row>
    <row r="99" spans="1:12" ht="18.75" customHeight="1" x14ac:dyDescent="0.25">
      <c r="A99" s="234" t="s">
        <v>98</v>
      </c>
      <c r="B99" s="235"/>
      <c r="C99" s="235"/>
      <c r="D99" s="235"/>
      <c r="E99" s="14"/>
      <c r="F99" s="31"/>
      <c r="G99" s="14"/>
      <c r="H99" s="14"/>
      <c r="I99" s="14"/>
      <c r="J99" s="31">
        <f t="shared" si="4"/>
        <v>0</v>
      </c>
      <c r="K99" s="30"/>
      <c r="L99" s="31">
        <f t="shared" si="6"/>
        <v>0</v>
      </c>
    </row>
    <row r="100" spans="1:12" ht="18.75" x14ac:dyDescent="0.25">
      <c r="A100" s="15" t="s">
        <v>99</v>
      </c>
      <c r="B100" s="229" t="s">
        <v>100</v>
      </c>
      <c r="C100" s="230"/>
      <c r="D100" s="26"/>
      <c r="E100" s="30"/>
      <c r="F100" s="31"/>
      <c r="G100" s="31"/>
      <c r="H100" s="32"/>
      <c r="I100" s="32"/>
      <c r="J100" s="31">
        <f t="shared" si="4"/>
        <v>0</v>
      </c>
      <c r="K100" s="30"/>
      <c r="L100" s="31">
        <f t="shared" si="6"/>
        <v>0</v>
      </c>
    </row>
    <row r="101" spans="1:12" ht="37.5" x14ac:dyDescent="0.25">
      <c r="A101" s="221" t="s">
        <v>101</v>
      </c>
      <c r="B101" s="226" t="s">
        <v>100</v>
      </c>
      <c r="C101" s="33" t="s">
        <v>37</v>
      </c>
      <c r="D101" s="34">
        <v>0.9</v>
      </c>
      <c r="E101" s="30" t="s">
        <v>102</v>
      </c>
      <c r="F101" s="31">
        <f t="shared" si="5"/>
        <v>216100.80000000002</v>
      </c>
      <c r="G101" s="31">
        <v>6002.8</v>
      </c>
      <c r="H101" s="35">
        <v>40</v>
      </c>
      <c r="I101" s="32">
        <v>2.59</v>
      </c>
      <c r="J101" s="31">
        <f t="shared" si="4"/>
        <v>13992.5268</v>
      </c>
      <c r="K101" s="30"/>
      <c r="L101" s="31">
        <f t="shared" si="6"/>
        <v>0</v>
      </c>
    </row>
    <row r="102" spans="1:12" ht="42.75" customHeight="1" x14ac:dyDescent="0.25">
      <c r="A102" s="222"/>
      <c r="B102" s="228"/>
      <c r="C102" s="33" t="s">
        <v>38</v>
      </c>
      <c r="D102" s="34">
        <v>0.1</v>
      </c>
      <c r="E102" s="30" t="s">
        <v>102</v>
      </c>
      <c r="F102" s="31">
        <f t="shared" si="5"/>
        <v>24011.200000000004</v>
      </c>
      <c r="G102" s="31">
        <v>6002.8</v>
      </c>
      <c r="H102" s="35">
        <v>40</v>
      </c>
      <c r="I102" s="32"/>
      <c r="J102" s="31">
        <f t="shared" si="4"/>
        <v>0</v>
      </c>
      <c r="K102" s="30"/>
      <c r="L102" s="31">
        <f t="shared" si="6"/>
        <v>0</v>
      </c>
    </row>
    <row r="103" spans="1:12" ht="18.75" customHeight="1" x14ac:dyDescent="0.25">
      <c r="A103" s="15"/>
      <c r="B103" s="236" t="s">
        <v>103</v>
      </c>
      <c r="C103" s="33" t="s">
        <v>37</v>
      </c>
      <c r="D103" s="34">
        <v>0.9</v>
      </c>
      <c r="E103" s="30" t="s">
        <v>104</v>
      </c>
      <c r="F103" s="31">
        <f t="shared" si="5"/>
        <v>71614.8</v>
      </c>
      <c r="G103" s="31">
        <v>66.31</v>
      </c>
      <c r="H103" s="35">
        <v>1200</v>
      </c>
      <c r="I103" s="32"/>
      <c r="J103" s="31">
        <f t="shared" si="4"/>
        <v>0</v>
      </c>
      <c r="K103" s="30"/>
      <c r="L103" s="31">
        <f t="shared" si="6"/>
        <v>0</v>
      </c>
    </row>
    <row r="104" spans="1:12" ht="50.25" customHeight="1" x14ac:dyDescent="0.25">
      <c r="A104" s="15"/>
      <c r="B104" s="237"/>
      <c r="C104" s="33" t="s">
        <v>38</v>
      </c>
      <c r="D104" s="34">
        <v>0.1</v>
      </c>
      <c r="E104" s="30" t="s">
        <v>104</v>
      </c>
      <c r="F104" s="31">
        <f t="shared" si="5"/>
        <v>7957.2000000000007</v>
      </c>
      <c r="G104" s="31">
        <v>66.31</v>
      </c>
      <c r="H104" s="35">
        <v>1200</v>
      </c>
      <c r="I104" s="32"/>
      <c r="J104" s="31">
        <f t="shared" si="4"/>
        <v>0</v>
      </c>
      <c r="K104" s="30"/>
      <c r="L104" s="31">
        <f t="shared" si="6"/>
        <v>0</v>
      </c>
    </row>
    <row r="105" spans="1:12" ht="18.75" x14ac:dyDescent="0.25">
      <c r="A105" s="15"/>
      <c r="B105" s="33"/>
      <c r="C105" s="33"/>
      <c r="D105" s="29"/>
      <c r="E105" s="30"/>
      <c r="F105" s="31"/>
      <c r="G105" s="31"/>
      <c r="H105" s="36"/>
      <c r="I105" s="32"/>
      <c r="J105" s="31">
        <f t="shared" si="4"/>
        <v>0</v>
      </c>
      <c r="K105" s="30"/>
      <c r="L105" s="31">
        <f t="shared" si="6"/>
        <v>0</v>
      </c>
    </row>
    <row r="106" spans="1:12" ht="18.75" x14ac:dyDescent="0.25">
      <c r="A106" s="15" t="s">
        <v>105</v>
      </c>
      <c r="B106" s="229" t="s">
        <v>106</v>
      </c>
      <c r="C106" s="230"/>
      <c r="D106" s="26"/>
      <c r="E106" s="30"/>
      <c r="F106" s="31"/>
      <c r="G106" s="31"/>
      <c r="H106" s="32"/>
      <c r="I106" s="32"/>
      <c r="J106" s="31">
        <f t="shared" ref="J106:J137" si="7">D106*G106*I106</f>
        <v>0</v>
      </c>
      <c r="K106" s="30"/>
      <c r="L106" s="31">
        <f t="shared" si="6"/>
        <v>0</v>
      </c>
    </row>
    <row r="107" spans="1:12" ht="37.5" x14ac:dyDescent="0.25">
      <c r="A107" s="221" t="s">
        <v>107</v>
      </c>
      <c r="B107" s="226" t="s">
        <v>108</v>
      </c>
      <c r="C107" s="33" t="s">
        <v>37</v>
      </c>
      <c r="D107" s="34">
        <v>0.9</v>
      </c>
      <c r="E107" s="30" t="s">
        <v>97</v>
      </c>
      <c r="F107" s="31">
        <f t="shared" si="5"/>
        <v>50256</v>
      </c>
      <c r="G107" s="31">
        <v>27920</v>
      </c>
      <c r="H107" s="35">
        <v>2</v>
      </c>
      <c r="I107" s="32"/>
      <c r="J107" s="31">
        <f t="shared" si="7"/>
        <v>0</v>
      </c>
      <c r="K107" s="30"/>
      <c r="L107" s="31">
        <f t="shared" si="6"/>
        <v>0</v>
      </c>
    </row>
    <row r="108" spans="1:12" ht="37.5" x14ac:dyDescent="0.25">
      <c r="A108" s="222"/>
      <c r="B108" s="228"/>
      <c r="C108" s="33" t="s">
        <v>38</v>
      </c>
      <c r="D108" s="34">
        <v>0.1</v>
      </c>
      <c r="E108" s="30" t="s">
        <v>97</v>
      </c>
      <c r="F108" s="31">
        <f t="shared" si="5"/>
        <v>5584</v>
      </c>
      <c r="G108" s="31">
        <v>27920</v>
      </c>
      <c r="H108" s="35">
        <v>2</v>
      </c>
      <c r="I108" s="32"/>
      <c r="J108" s="31">
        <f t="shared" si="7"/>
        <v>0</v>
      </c>
      <c r="K108" s="30"/>
      <c r="L108" s="31">
        <f t="shared" si="6"/>
        <v>0</v>
      </c>
    </row>
    <row r="109" spans="1:12" ht="37.5" x14ac:dyDescent="0.25">
      <c r="A109" s="221" t="s">
        <v>109</v>
      </c>
      <c r="B109" s="226" t="s">
        <v>110</v>
      </c>
      <c r="C109" s="33" t="s">
        <v>37</v>
      </c>
      <c r="D109" s="34">
        <v>0.9</v>
      </c>
      <c r="E109" s="30" t="s">
        <v>97</v>
      </c>
      <c r="F109" s="31">
        <f t="shared" si="5"/>
        <v>314100</v>
      </c>
      <c r="G109" s="31">
        <v>43625</v>
      </c>
      <c r="H109" s="35">
        <v>8</v>
      </c>
      <c r="I109" s="32"/>
      <c r="J109" s="31">
        <f t="shared" si="7"/>
        <v>0</v>
      </c>
      <c r="K109" s="30"/>
      <c r="L109" s="31">
        <f t="shared" si="6"/>
        <v>0</v>
      </c>
    </row>
    <row r="110" spans="1:12" ht="37.5" x14ac:dyDescent="0.25">
      <c r="A110" s="222"/>
      <c r="B110" s="228"/>
      <c r="C110" s="33" t="s">
        <v>38</v>
      </c>
      <c r="D110" s="34">
        <v>0.1</v>
      </c>
      <c r="E110" s="30" t="s">
        <v>97</v>
      </c>
      <c r="F110" s="31">
        <f t="shared" si="5"/>
        <v>34900</v>
      </c>
      <c r="G110" s="31">
        <v>43625</v>
      </c>
      <c r="H110" s="35">
        <v>8</v>
      </c>
      <c r="I110" s="32"/>
      <c r="J110" s="31">
        <f t="shared" si="7"/>
        <v>0</v>
      </c>
      <c r="K110" s="30"/>
      <c r="L110" s="31">
        <f t="shared" si="6"/>
        <v>0</v>
      </c>
    </row>
    <row r="111" spans="1:12" ht="37.5" x14ac:dyDescent="0.25">
      <c r="A111" s="221" t="s">
        <v>111</v>
      </c>
      <c r="B111" s="226" t="s">
        <v>112</v>
      </c>
      <c r="C111" s="33" t="s">
        <v>37</v>
      </c>
      <c r="D111" s="34">
        <v>0.9</v>
      </c>
      <c r="E111" s="30" t="s">
        <v>47</v>
      </c>
      <c r="F111" s="31">
        <f t="shared" si="5"/>
        <v>135691.20000000001</v>
      </c>
      <c r="G111" s="31">
        <v>6282</v>
      </c>
      <c r="H111" s="35">
        <v>24</v>
      </c>
      <c r="I111" s="32"/>
      <c r="J111" s="31">
        <f t="shared" si="7"/>
        <v>0</v>
      </c>
      <c r="K111" s="30"/>
      <c r="L111" s="31">
        <f t="shared" si="6"/>
        <v>0</v>
      </c>
    </row>
    <row r="112" spans="1:12" ht="37.5" x14ac:dyDescent="0.25">
      <c r="A112" s="222"/>
      <c r="B112" s="228"/>
      <c r="C112" s="33" t="s">
        <v>38</v>
      </c>
      <c r="D112" s="34">
        <v>0.1</v>
      </c>
      <c r="E112" s="30" t="s">
        <v>47</v>
      </c>
      <c r="F112" s="31">
        <f t="shared" si="5"/>
        <v>15076.800000000001</v>
      </c>
      <c r="G112" s="31">
        <v>6282</v>
      </c>
      <c r="H112" s="35">
        <v>24</v>
      </c>
      <c r="I112" s="32"/>
      <c r="J112" s="31">
        <f t="shared" si="7"/>
        <v>0</v>
      </c>
      <c r="K112" s="30"/>
      <c r="L112" s="31">
        <f t="shared" si="6"/>
        <v>0</v>
      </c>
    </row>
    <row r="113" spans="1:12" ht="18.75" x14ac:dyDescent="0.25">
      <c r="A113" s="15"/>
      <c r="B113" s="33"/>
      <c r="C113" s="33"/>
      <c r="D113" s="29"/>
      <c r="E113" s="30"/>
      <c r="F113" s="31"/>
      <c r="G113" s="31"/>
      <c r="H113" s="36"/>
      <c r="I113" s="32"/>
      <c r="J113" s="31">
        <f t="shared" si="7"/>
        <v>0</v>
      </c>
      <c r="K113" s="30"/>
      <c r="L113" s="31">
        <f t="shared" si="6"/>
        <v>0</v>
      </c>
    </row>
    <row r="114" spans="1:12" ht="18.75" x14ac:dyDescent="0.25">
      <c r="A114" s="15" t="s">
        <v>113</v>
      </c>
      <c r="B114" s="229" t="s">
        <v>114</v>
      </c>
      <c r="C114" s="230"/>
      <c r="D114" s="26"/>
      <c r="E114" s="30"/>
      <c r="F114" s="31"/>
      <c r="G114" s="31"/>
      <c r="H114" s="32"/>
      <c r="I114" s="32"/>
      <c r="J114" s="31">
        <f t="shared" si="7"/>
        <v>0</v>
      </c>
      <c r="K114" s="30"/>
      <c r="L114" s="31">
        <f t="shared" si="6"/>
        <v>0</v>
      </c>
    </row>
    <row r="115" spans="1:12" ht="37.5" x14ac:dyDescent="0.25">
      <c r="A115" s="221" t="s">
        <v>115</v>
      </c>
      <c r="B115" s="226" t="s">
        <v>116</v>
      </c>
      <c r="C115" s="33" t="s">
        <v>37</v>
      </c>
      <c r="D115" s="34">
        <v>0.9</v>
      </c>
      <c r="E115" s="42" t="s">
        <v>47</v>
      </c>
      <c r="F115" s="31">
        <f t="shared" si="5"/>
        <v>124383.6</v>
      </c>
      <c r="G115" s="43">
        <v>23034</v>
      </c>
      <c r="H115" s="35">
        <v>6</v>
      </c>
      <c r="I115" s="32"/>
      <c r="J115" s="31">
        <f t="shared" si="7"/>
        <v>0</v>
      </c>
      <c r="K115" s="30"/>
      <c r="L115" s="31">
        <f t="shared" si="6"/>
        <v>0</v>
      </c>
    </row>
    <row r="116" spans="1:12" ht="37.5" x14ac:dyDescent="0.25">
      <c r="A116" s="222"/>
      <c r="B116" s="228"/>
      <c r="C116" s="33" t="s">
        <v>38</v>
      </c>
      <c r="D116" s="34">
        <v>0.1</v>
      </c>
      <c r="E116" s="42" t="s">
        <v>47</v>
      </c>
      <c r="F116" s="31">
        <f t="shared" si="5"/>
        <v>13820.400000000001</v>
      </c>
      <c r="G116" s="43">
        <v>23034</v>
      </c>
      <c r="H116" s="35">
        <v>6</v>
      </c>
      <c r="I116" s="32"/>
      <c r="J116" s="31">
        <f t="shared" si="7"/>
        <v>0</v>
      </c>
      <c r="K116" s="30"/>
      <c r="L116" s="31">
        <f t="shared" si="6"/>
        <v>0</v>
      </c>
    </row>
    <row r="117" spans="1:12" ht="37.5" x14ac:dyDescent="0.25">
      <c r="A117" s="221" t="s">
        <v>117</v>
      </c>
      <c r="B117" s="226" t="s">
        <v>118</v>
      </c>
      <c r="C117" s="33" t="s">
        <v>37</v>
      </c>
      <c r="D117" s="34">
        <v>0.9</v>
      </c>
      <c r="E117" s="42" t="s">
        <v>47</v>
      </c>
      <c r="F117" s="31">
        <f t="shared" si="5"/>
        <v>184690.8</v>
      </c>
      <c r="G117" s="43">
        <v>34202</v>
      </c>
      <c r="H117" s="35">
        <v>6</v>
      </c>
      <c r="I117" s="32"/>
      <c r="J117" s="31">
        <f t="shared" si="7"/>
        <v>0</v>
      </c>
      <c r="K117" s="30"/>
      <c r="L117" s="31">
        <f t="shared" si="6"/>
        <v>0</v>
      </c>
    </row>
    <row r="118" spans="1:12" ht="37.5" x14ac:dyDescent="0.25">
      <c r="A118" s="222"/>
      <c r="B118" s="228"/>
      <c r="C118" s="33" t="s">
        <v>38</v>
      </c>
      <c r="D118" s="34">
        <v>0.1</v>
      </c>
      <c r="E118" s="42" t="s">
        <v>47</v>
      </c>
      <c r="F118" s="31">
        <f t="shared" si="5"/>
        <v>20521.2</v>
      </c>
      <c r="G118" s="43">
        <v>34202</v>
      </c>
      <c r="H118" s="35">
        <v>6</v>
      </c>
      <c r="I118" s="32"/>
      <c r="J118" s="31">
        <f t="shared" si="7"/>
        <v>0</v>
      </c>
      <c r="K118" s="30"/>
      <c r="L118" s="31">
        <f t="shared" si="6"/>
        <v>0</v>
      </c>
    </row>
    <row r="119" spans="1:12" ht="37.5" x14ac:dyDescent="0.25">
      <c r="A119" s="221" t="s">
        <v>119</v>
      </c>
      <c r="B119" s="226" t="s">
        <v>120</v>
      </c>
      <c r="C119" s="33" t="s">
        <v>37</v>
      </c>
      <c r="D119" s="34">
        <v>0.9</v>
      </c>
      <c r="E119" s="42" t="s">
        <v>47</v>
      </c>
      <c r="F119" s="31">
        <f t="shared" si="5"/>
        <v>31033.079999999998</v>
      </c>
      <c r="G119" s="43">
        <v>17240.599999999999</v>
      </c>
      <c r="H119" s="35">
        <v>2</v>
      </c>
      <c r="I119" s="32"/>
      <c r="J119" s="31">
        <f t="shared" si="7"/>
        <v>0</v>
      </c>
      <c r="K119" s="30"/>
      <c r="L119" s="31">
        <f t="shared" si="6"/>
        <v>0</v>
      </c>
    </row>
    <row r="120" spans="1:12" ht="37.5" x14ac:dyDescent="0.25">
      <c r="A120" s="222"/>
      <c r="B120" s="228"/>
      <c r="C120" s="33" t="s">
        <v>38</v>
      </c>
      <c r="D120" s="34">
        <v>0.1</v>
      </c>
      <c r="E120" s="42" t="s">
        <v>47</v>
      </c>
      <c r="F120" s="31">
        <f t="shared" si="5"/>
        <v>3448.12</v>
      </c>
      <c r="G120" s="43">
        <v>17240.599999999999</v>
      </c>
      <c r="H120" s="35">
        <v>2</v>
      </c>
      <c r="I120" s="32"/>
      <c r="J120" s="31">
        <f t="shared" si="7"/>
        <v>0</v>
      </c>
      <c r="K120" s="30"/>
      <c r="L120" s="31">
        <f t="shared" si="6"/>
        <v>0</v>
      </c>
    </row>
    <row r="121" spans="1:12" ht="37.5" x14ac:dyDescent="0.25">
      <c r="A121" s="221" t="s">
        <v>121</v>
      </c>
      <c r="B121" s="226" t="s">
        <v>122</v>
      </c>
      <c r="C121" s="33" t="s">
        <v>37</v>
      </c>
      <c r="D121" s="34">
        <v>0.9</v>
      </c>
      <c r="E121" s="42" t="s">
        <v>47</v>
      </c>
      <c r="F121" s="31">
        <f t="shared" si="5"/>
        <v>46486.8</v>
      </c>
      <c r="G121" s="43">
        <v>25826</v>
      </c>
      <c r="H121" s="35">
        <v>2</v>
      </c>
      <c r="I121" s="32"/>
      <c r="J121" s="31">
        <f t="shared" si="7"/>
        <v>0</v>
      </c>
      <c r="K121" s="30"/>
      <c r="L121" s="31">
        <f t="shared" si="6"/>
        <v>0</v>
      </c>
    </row>
    <row r="122" spans="1:12" ht="37.5" x14ac:dyDescent="0.25">
      <c r="A122" s="222"/>
      <c r="B122" s="228"/>
      <c r="C122" s="33" t="s">
        <v>38</v>
      </c>
      <c r="D122" s="34">
        <v>0.1</v>
      </c>
      <c r="E122" s="42" t="s">
        <v>47</v>
      </c>
      <c r="F122" s="31">
        <f t="shared" si="5"/>
        <v>5165.2000000000007</v>
      </c>
      <c r="G122" s="43">
        <v>25826</v>
      </c>
      <c r="H122" s="35">
        <v>2</v>
      </c>
      <c r="I122" s="32"/>
      <c r="J122" s="31">
        <f t="shared" si="7"/>
        <v>0</v>
      </c>
      <c r="K122" s="30"/>
      <c r="L122" s="31">
        <f t="shared" si="6"/>
        <v>0</v>
      </c>
    </row>
    <row r="123" spans="1:12" ht="18.75" customHeight="1" x14ac:dyDescent="0.25">
      <c r="A123" s="234" t="s">
        <v>123</v>
      </c>
      <c r="B123" s="235"/>
      <c r="C123" s="235"/>
      <c r="D123" s="235"/>
      <c r="E123" s="235"/>
      <c r="F123" s="31"/>
      <c r="G123" s="14"/>
      <c r="H123" s="14"/>
      <c r="I123" s="14"/>
      <c r="J123" s="31">
        <f t="shared" si="7"/>
        <v>0</v>
      </c>
      <c r="K123" s="30"/>
      <c r="L123" s="31">
        <f t="shared" si="6"/>
        <v>0</v>
      </c>
    </row>
    <row r="124" spans="1:12" ht="75" x14ac:dyDescent="0.25">
      <c r="A124" s="221" t="s">
        <v>124</v>
      </c>
      <c r="B124" s="226" t="s">
        <v>125</v>
      </c>
      <c r="C124" s="33" t="s">
        <v>126</v>
      </c>
      <c r="D124" s="34">
        <v>0.95</v>
      </c>
      <c r="E124" s="30" t="s">
        <v>47</v>
      </c>
      <c r="F124" s="31">
        <f t="shared" si="5"/>
        <v>206887.19999999998</v>
      </c>
      <c r="G124" s="31">
        <v>181.48</v>
      </c>
      <c r="H124" s="35">
        <v>1200</v>
      </c>
      <c r="I124" s="32"/>
      <c r="J124" s="31">
        <f t="shared" si="7"/>
        <v>0</v>
      </c>
      <c r="K124" s="30"/>
      <c r="L124" s="31">
        <f t="shared" si="6"/>
        <v>0</v>
      </c>
    </row>
    <row r="125" spans="1:12" ht="18.75" x14ac:dyDescent="0.25">
      <c r="A125" s="222"/>
      <c r="B125" s="228"/>
      <c r="C125" s="33" t="s">
        <v>127</v>
      </c>
      <c r="D125" s="34">
        <v>0.05</v>
      </c>
      <c r="E125" s="30" t="s">
        <v>47</v>
      </c>
      <c r="F125" s="31">
        <f t="shared" si="5"/>
        <v>10888.8</v>
      </c>
      <c r="G125" s="31">
        <v>181.48</v>
      </c>
      <c r="H125" s="35">
        <v>1200</v>
      </c>
      <c r="I125" s="32"/>
      <c r="J125" s="31">
        <f t="shared" si="7"/>
        <v>0</v>
      </c>
      <c r="K125" s="30"/>
      <c r="L125" s="31">
        <f t="shared" si="6"/>
        <v>0</v>
      </c>
    </row>
    <row r="126" spans="1:12" ht="75" x14ac:dyDescent="0.25">
      <c r="A126" s="221" t="s">
        <v>128</v>
      </c>
      <c r="B126" s="226" t="s">
        <v>129</v>
      </c>
      <c r="C126" s="33" t="s">
        <v>126</v>
      </c>
      <c r="D126" s="34">
        <v>0.95</v>
      </c>
      <c r="E126" s="30" t="s">
        <v>47</v>
      </c>
      <c r="F126" s="31">
        <f t="shared" si="5"/>
        <v>5039.5599999999995</v>
      </c>
      <c r="G126" s="31">
        <v>1326.2</v>
      </c>
      <c r="H126" s="35">
        <v>4</v>
      </c>
      <c r="I126" s="32"/>
      <c r="J126" s="31">
        <f t="shared" si="7"/>
        <v>0</v>
      </c>
      <c r="K126" s="30"/>
      <c r="L126" s="31">
        <f t="shared" si="6"/>
        <v>0</v>
      </c>
    </row>
    <row r="127" spans="1:12" ht="18.75" x14ac:dyDescent="0.25">
      <c r="A127" s="222"/>
      <c r="B127" s="228"/>
      <c r="C127" s="33" t="s">
        <v>127</v>
      </c>
      <c r="D127" s="34">
        <v>0.05</v>
      </c>
      <c r="E127" s="30" t="s">
        <v>47</v>
      </c>
      <c r="F127" s="31">
        <f t="shared" si="5"/>
        <v>265.24</v>
      </c>
      <c r="G127" s="31">
        <v>1326.2</v>
      </c>
      <c r="H127" s="35">
        <v>4</v>
      </c>
      <c r="I127" s="32"/>
      <c r="J127" s="31">
        <f t="shared" si="7"/>
        <v>0</v>
      </c>
      <c r="K127" s="30"/>
      <c r="L127" s="31">
        <f t="shared" si="6"/>
        <v>0</v>
      </c>
    </row>
    <row r="128" spans="1:12" ht="18.75" customHeight="1" x14ac:dyDescent="0.25">
      <c r="A128" s="233" t="s">
        <v>130</v>
      </c>
      <c r="B128" s="233"/>
      <c r="C128" s="233"/>
      <c r="D128" s="233"/>
      <c r="E128" s="233"/>
      <c r="F128" s="31"/>
      <c r="G128" s="20"/>
      <c r="H128" s="21"/>
      <c r="I128" s="21"/>
      <c r="J128" s="31">
        <f t="shared" si="7"/>
        <v>0</v>
      </c>
      <c r="K128" s="30"/>
      <c r="L128" s="31">
        <f t="shared" si="6"/>
        <v>0</v>
      </c>
    </row>
    <row r="129" spans="1:12" ht="18.75" x14ac:dyDescent="0.25">
      <c r="A129" s="15" t="s">
        <v>131</v>
      </c>
      <c r="B129" s="231" t="s">
        <v>132</v>
      </c>
      <c r="C129" s="232"/>
      <c r="D129" s="15"/>
      <c r="E129" s="30"/>
      <c r="F129" s="31"/>
      <c r="G129" s="31"/>
      <c r="H129" s="32"/>
      <c r="I129" s="32"/>
      <c r="J129" s="31">
        <f t="shared" si="7"/>
        <v>0</v>
      </c>
      <c r="K129" s="30"/>
      <c r="L129" s="31">
        <f t="shared" si="6"/>
        <v>0</v>
      </c>
    </row>
    <row r="130" spans="1:12" ht="37.5" x14ac:dyDescent="0.25">
      <c r="A130" s="221" t="s">
        <v>133</v>
      </c>
      <c r="B130" s="226" t="s">
        <v>134</v>
      </c>
      <c r="C130" s="33" t="s">
        <v>37</v>
      </c>
      <c r="D130" s="34">
        <v>0.9</v>
      </c>
      <c r="E130" s="30" t="s">
        <v>17</v>
      </c>
      <c r="F130" s="31">
        <f t="shared" si="5"/>
        <v>251280.00000000003</v>
      </c>
      <c r="G130" s="31">
        <v>27.92</v>
      </c>
      <c r="H130" s="35">
        <v>10000</v>
      </c>
      <c r="I130" s="32"/>
      <c r="J130" s="31">
        <f t="shared" si="7"/>
        <v>0</v>
      </c>
      <c r="K130" s="30"/>
      <c r="L130" s="31">
        <f t="shared" si="6"/>
        <v>0</v>
      </c>
    </row>
    <row r="131" spans="1:12" ht="37.5" x14ac:dyDescent="0.25">
      <c r="A131" s="222"/>
      <c r="B131" s="228"/>
      <c r="C131" s="33" t="s">
        <v>38</v>
      </c>
      <c r="D131" s="34">
        <v>0.1</v>
      </c>
      <c r="E131" s="30" t="s">
        <v>17</v>
      </c>
      <c r="F131" s="31">
        <f t="shared" si="5"/>
        <v>27920.000000000004</v>
      </c>
      <c r="G131" s="31">
        <v>27.92</v>
      </c>
      <c r="H131" s="35">
        <v>10000</v>
      </c>
      <c r="I131" s="32"/>
      <c r="J131" s="31">
        <f t="shared" si="7"/>
        <v>0</v>
      </c>
      <c r="K131" s="30"/>
      <c r="L131" s="31">
        <f t="shared" si="6"/>
        <v>0</v>
      </c>
    </row>
    <row r="132" spans="1:12" ht="18.75" x14ac:dyDescent="0.25">
      <c r="A132" s="15" t="s">
        <v>135</v>
      </c>
      <c r="B132" s="231" t="s">
        <v>136</v>
      </c>
      <c r="C132" s="232"/>
      <c r="D132" s="15"/>
      <c r="E132" s="30"/>
      <c r="F132" s="31"/>
      <c r="G132" s="31"/>
      <c r="H132" s="32"/>
      <c r="I132" s="32"/>
      <c r="J132" s="31">
        <f t="shared" si="7"/>
        <v>0</v>
      </c>
      <c r="K132" s="30"/>
      <c r="L132" s="31">
        <f t="shared" si="6"/>
        <v>0</v>
      </c>
    </row>
    <row r="133" spans="1:12" s="19" customFormat="1" ht="18.75" x14ac:dyDescent="0.25">
      <c r="A133" s="15" t="s">
        <v>137</v>
      </c>
      <c r="B133" s="229" t="s">
        <v>138</v>
      </c>
      <c r="C133" s="230"/>
      <c r="D133" s="26"/>
      <c r="E133" s="30"/>
      <c r="F133" s="31"/>
      <c r="G133" s="31"/>
      <c r="H133" s="32"/>
      <c r="I133" s="32"/>
      <c r="J133" s="31">
        <f t="shared" si="7"/>
        <v>0</v>
      </c>
      <c r="K133" s="30"/>
      <c r="L133" s="31">
        <f t="shared" si="6"/>
        <v>0</v>
      </c>
    </row>
    <row r="134" spans="1:12" ht="37.5" x14ac:dyDescent="0.25">
      <c r="A134" s="221" t="s">
        <v>139</v>
      </c>
      <c r="B134" s="226" t="s">
        <v>140</v>
      </c>
      <c r="C134" s="33" t="s">
        <v>37</v>
      </c>
      <c r="D134" s="34">
        <v>0.9</v>
      </c>
      <c r="E134" s="30" t="s">
        <v>17</v>
      </c>
      <c r="F134" s="31">
        <f t="shared" si="5"/>
        <v>201024.00000000003</v>
      </c>
      <c r="G134" s="31">
        <v>55.84</v>
      </c>
      <c r="H134" s="35">
        <v>4000</v>
      </c>
      <c r="I134" s="32"/>
      <c r="J134" s="31">
        <f t="shared" si="7"/>
        <v>0</v>
      </c>
      <c r="K134" s="30">
        <v>81.2</v>
      </c>
      <c r="L134" s="31">
        <f t="shared" si="6"/>
        <v>4080.7872000000007</v>
      </c>
    </row>
    <row r="135" spans="1:12" ht="37.5" x14ac:dyDescent="0.25">
      <c r="A135" s="222"/>
      <c r="B135" s="228"/>
      <c r="C135" s="33" t="s">
        <v>38</v>
      </c>
      <c r="D135" s="34">
        <v>0.1</v>
      </c>
      <c r="E135" s="30" t="s">
        <v>17</v>
      </c>
      <c r="F135" s="31">
        <f t="shared" si="5"/>
        <v>22336.000000000004</v>
      </c>
      <c r="G135" s="31">
        <v>55.84</v>
      </c>
      <c r="H135" s="35">
        <v>4000</v>
      </c>
      <c r="I135" s="32"/>
      <c r="J135" s="31">
        <f t="shared" si="7"/>
        <v>0</v>
      </c>
      <c r="K135" s="30"/>
      <c r="L135" s="31">
        <f t="shared" si="6"/>
        <v>0</v>
      </c>
    </row>
    <row r="136" spans="1:12" ht="37.5" x14ac:dyDescent="0.25">
      <c r="A136" s="221" t="s">
        <v>141</v>
      </c>
      <c r="B136" s="226" t="s">
        <v>142</v>
      </c>
      <c r="C136" s="33" t="s">
        <v>37</v>
      </c>
      <c r="D136" s="34">
        <v>0.9</v>
      </c>
      <c r="E136" s="30" t="s">
        <v>17</v>
      </c>
      <c r="F136" s="31">
        <f t="shared" si="5"/>
        <v>226152.00000000003</v>
      </c>
      <c r="G136" s="31">
        <v>62.82</v>
      </c>
      <c r="H136" s="35">
        <v>4000</v>
      </c>
      <c r="I136" s="32"/>
      <c r="J136" s="31">
        <f t="shared" si="7"/>
        <v>0</v>
      </c>
      <c r="K136" s="30"/>
      <c r="L136" s="31">
        <f t="shared" si="6"/>
        <v>0</v>
      </c>
    </row>
    <row r="137" spans="1:12" ht="37.5" x14ac:dyDescent="0.25">
      <c r="A137" s="222"/>
      <c r="B137" s="228"/>
      <c r="C137" s="33" t="s">
        <v>38</v>
      </c>
      <c r="D137" s="34">
        <v>0.1</v>
      </c>
      <c r="E137" s="30" t="s">
        <v>17</v>
      </c>
      <c r="F137" s="31">
        <f t="shared" si="5"/>
        <v>25128</v>
      </c>
      <c r="G137" s="31">
        <v>62.82</v>
      </c>
      <c r="H137" s="35">
        <v>4000</v>
      </c>
      <c r="I137" s="32"/>
      <c r="J137" s="31">
        <f t="shared" si="7"/>
        <v>0</v>
      </c>
      <c r="K137" s="30"/>
      <c r="L137" s="31">
        <f t="shared" si="6"/>
        <v>0</v>
      </c>
    </row>
    <row r="138" spans="1:12" ht="18.75" x14ac:dyDescent="0.25">
      <c r="A138" s="15"/>
      <c r="B138" s="33"/>
      <c r="C138" s="33"/>
      <c r="D138" s="29"/>
      <c r="E138" s="30"/>
      <c r="F138" s="31"/>
      <c r="G138" s="31"/>
      <c r="H138" s="36"/>
      <c r="I138" s="32"/>
      <c r="J138" s="31">
        <f t="shared" ref="J138:J163" si="8">D138*G138*I138</f>
        <v>0</v>
      </c>
      <c r="K138" s="30"/>
      <c r="L138" s="31">
        <f t="shared" si="6"/>
        <v>0</v>
      </c>
    </row>
    <row r="139" spans="1:12" ht="18.75" x14ac:dyDescent="0.25">
      <c r="A139" s="15" t="s">
        <v>143</v>
      </c>
      <c r="B139" s="229" t="s">
        <v>144</v>
      </c>
      <c r="C139" s="230"/>
      <c r="D139" s="26"/>
      <c r="E139" s="30"/>
      <c r="F139" s="31"/>
      <c r="G139" s="31"/>
      <c r="H139" s="32"/>
      <c r="I139" s="32"/>
      <c r="J139" s="31">
        <f t="shared" si="8"/>
        <v>0</v>
      </c>
      <c r="K139" s="30"/>
      <c r="L139" s="31">
        <f t="shared" ref="L139:L163" si="9">K139*G139*D139</f>
        <v>0</v>
      </c>
    </row>
    <row r="140" spans="1:12" ht="37.5" x14ac:dyDescent="0.25">
      <c r="A140" s="221" t="s">
        <v>145</v>
      </c>
      <c r="B140" s="226" t="s">
        <v>146</v>
      </c>
      <c r="C140" s="33" t="s">
        <v>147</v>
      </c>
      <c r="D140" s="34">
        <v>0.8</v>
      </c>
      <c r="E140" s="30" t="s">
        <v>148</v>
      </c>
      <c r="F140" s="31">
        <f t="shared" ref="F140:F163" si="10">D140*G140*H140</f>
        <v>1116800</v>
      </c>
      <c r="G140" s="31">
        <v>349</v>
      </c>
      <c r="H140" s="35">
        <v>4000</v>
      </c>
      <c r="I140" s="32"/>
      <c r="J140" s="31">
        <f t="shared" si="8"/>
        <v>0</v>
      </c>
      <c r="K140" s="30"/>
      <c r="L140" s="31">
        <f t="shared" si="9"/>
        <v>0</v>
      </c>
    </row>
    <row r="141" spans="1:12" ht="37.5" x14ac:dyDescent="0.25">
      <c r="A141" s="225"/>
      <c r="B141" s="227"/>
      <c r="C141" s="33" t="s">
        <v>149</v>
      </c>
      <c r="D141" s="34">
        <v>0.1</v>
      </c>
      <c r="E141" s="30" t="s">
        <v>148</v>
      </c>
      <c r="F141" s="31">
        <f t="shared" si="10"/>
        <v>139600</v>
      </c>
      <c r="G141" s="31">
        <v>349</v>
      </c>
      <c r="H141" s="35">
        <v>4000</v>
      </c>
      <c r="I141" s="32"/>
      <c r="J141" s="31">
        <f t="shared" si="8"/>
        <v>0</v>
      </c>
      <c r="K141" s="30"/>
      <c r="L141" s="31">
        <f t="shared" si="9"/>
        <v>0</v>
      </c>
    </row>
    <row r="142" spans="1:12" ht="18.75" x14ac:dyDescent="0.25">
      <c r="A142" s="222"/>
      <c r="B142" s="228"/>
      <c r="C142" s="33" t="s">
        <v>150</v>
      </c>
      <c r="D142" s="34">
        <v>0.1</v>
      </c>
      <c r="E142" s="30" t="s">
        <v>148</v>
      </c>
      <c r="F142" s="31">
        <f t="shared" si="10"/>
        <v>139600</v>
      </c>
      <c r="G142" s="31">
        <v>349</v>
      </c>
      <c r="H142" s="35">
        <v>4000</v>
      </c>
      <c r="I142" s="32"/>
      <c r="J142" s="31">
        <f t="shared" si="8"/>
        <v>0</v>
      </c>
      <c r="K142" s="30"/>
      <c r="L142" s="31">
        <f t="shared" si="9"/>
        <v>0</v>
      </c>
    </row>
    <row r="143" spans="1:12" ht="37.5" x14ac:dyDescent="0.25">
      <c r="A143" s="221" t="s">
        <v>151</v>
      </c>
      <c r="B143" s="226" t="s">
        <v>152</v>
      </c>
      <c r="C143" s="33" t="s">
        <v>147</v>
      </c>
      <c r="D143" s="34">
        <v>0.8</v>
      </c>
      <c r="E143" s="30" t="s">
        <v>148</v>
      </c>
      <c r="F143" s="31">
        <f t="shared" si="10"/>
        <v>1366963.2000000002</v>
      </c>
      <c r="G143" s="31">
        <v>355.98</v>
      </c>
      <c r="H143" s="35">
        <v>4800</v>
      </c>
      <c r="I143" s="32"/>
      <c r="J143" s="31">
        <f t="shared" si="8"/>
        <v>0</v>
      </c>
      <c r="K143" s="30"/>
      <c r="L143" s="31">
        <f t="shared" si="9"/>
        <v>0</v>
      </c>
    </row>
    <row r="144" spans="1:12" ht="37.5" x14ac:dyDescent="0.25">
      <c r="A144" s="225"/>
      <c r="B144" s="227"/>
      <c r="C144" s="33" t="s">
        <v>149</v>
      </c>
      <c r="D144" s="34">
        <v>0.1</v>
      </c>
      <c r="E144" s="30" t="s">
        <v>148</v>
      </c>
      <c r="F144" s="31">
        <f t="shared" si="10"/>
        <v>170870.40000000002</v>
      </c>
      <c r="G144" s="31">
        <v>355.98</v>
      </c>
      <c r="H144" s="35">
        <v>4800</v>
      </c>
      <c r="I144" s="32"/>
      <c r="J144" s="31">
        <f t="shared" si="8"/>
        <v>0</v>
      </c>
      <c r="K144" s="30"/>
      <c r="L144" s="31">
        <f t="shared" si="9"/>
        <v>0</v>
      </c>
    </row>
    <row r="145" spans="1:12" ht="18.75" x14ac:dyDescent="0.25">
      <c r="A145" s="222"/>
      <c r="B145" s="228"/>
      <c r="C145" s="33" t="s">
        <v>150</v>
      </c>
      <c r="D145" s="34">
        <v>0.1</v>
      </c>
      <c r="E145" s="30" t="s">
        <v>148</v>
      </c>
      <c r="F145" s="31">
        <f t="shared" si="10"/>
        <v>170870.40000000002</v>
      </c>
      <c r="G145" s="31">
        <v>355.98</v>
      </c>
      <c r="H145" s="35">
        <v>4800</v>
      </c>
      <c r="I145" s="32"/>
      <c r="J145" s="31">
        <f t="shared" si="8"/>
        <v>0</v>
      </c>
      <c r="K145" s="30"/>
      <c r="L145" s="31">
        <f t="shared" si="9"/>
        <v>0</v>
      </c>
    </row>
    <row r="146" spans="1:12" ht="37.5" x14ac:dyDescent="0.25">
      <c r="A146" s="221" t="s">
        <v>153</v>
      </c>
      <c r="B146" s="226" t="s">
        <v>154</v>
      </c>
      <c r="C146" s="33" t="s">
        <v>147</v>
      </c>
      <c r="D146" s="34">
        <v>0.8</v>
      </c>
      <c r="E146" s="30" t="s">
        <v>148</v>
      </c>
      <c r="F146" s="31">
        <f t="shared" si="10"/>
        <v>670080</v>
      </c>
      <c r="G146" s="31">
        <v>418.8</v>
      </c>
      <c r="H146" s="35">
        <v>2000</v>
      </c>
      <c r="I146" s="32"/>
      <c r="J146" s="31">
        <f t="shared" si="8"/>
        <v>0</v>
      </c>
      <c r="K146" s="30"/>
      <c r="L146" s="31">
        <f t="shared" si="9"/>
        <v>0</v>
      </c>
    </row>
    <row r="147" spans="1:12" ht="37.5" x14ac:dyDescent="0.25">
      <c r="A147" s="225"/>
      <c r="B147" s="227"/>
      <c r="C147" s="33" t="s">
        <v>149</v>
      </c>
      <c r="D147" s="34">
        <v>0.1</v>
      </c>
      <c r="E147" s="30" t="s">
        <v>148</v>
      </c>
      <c r="F147" s="31">
        <f t="shared" si="10"/>
        <v>83760</v>
      </c>
      <c r="G147" s="31">
        <v>418.8</v>
      </c>
      <c r="H147" s="35">
        <v>2000</v>
      </c>
      <c r="I147" s="32"/>
      <c r="J147" s="31">
        <f t="shared" si="8"/>
        <v>0</v>
      </c>
      <c r="K147" s="30"/>
      <c r="L147" s="31">
        <f t="shared" si="9"/>
        <v>0</v>
      </c>
    </row>
    <row r="148" spans="1:12" ht="18.75" x14ac:dyDescent="0.25">
      <c r="A148" s="222"/>
      <c r="B148" s="228"/>
      <c r="C148" s="33" t="s">
        <v>150</v>
      </c>
      <c r="D148" s="34">
        <v>0.1</v>
      </c>
      <c r="E148" s="30" t="s">
        <v>148</v>
      </c>
      <c r="F148" s="31">
        <f t="shared" si="10"/>
        <v>83760</v>
      </c>
      <c r="G148" s="31">
        <v>418.8</v>
      </c>
      <c r="H148" s="35">
        <v>2000</v>
      </c>
      <c r="I148" s="32"/>
      <c r="J148" s="31">
        <f t="shared" si="8"/>
        <v>0</v>
      </c>
      <c r="K148" s="30"/>
      <c r="L148" s="31">
        <f t="shared" si="9"/>
        <v>0</v>
      </c>
    </row>
    <row r="149" spans="1:12" ht="37.5" x14ac:dyDescent="0.25">
      <c r="A149" s="221" t="s">
        <v>155</v>
      </c>
      <c r="B149" s="226" t="s">
        <v>156</v>
      </c>
      <c r="C149" s="33" t="s">
        <v>147</v>
      </c>
      <c r="D149" s="34">
        <v>0.8</v>
      </c>
      <c r="E149" s="30" t="s">
        <v>148</v>
      </c>
      <c r="F149" s="31">
        <f t="shared" si="10"/>
        <v>402048</v>
      </c>
      <c r="G149" s="31">
        <v>251.28</v>
      </c>
      <c r="H149" s="35">
        <v>2000</v>
      </c>
      <c r="I149" s="32">
        <v>51.9</v>
      </c>
      <c r="J149" s="31">
        <f t="shared" si="8"/>
        <v>10433.1456</v>
      </c>
      <c r="K149" s="30"/>
      <c r="L149" s="31">
        <f t="shared" si="9"/>
        <v>0</v>
      </c>
    </row>
    <row r="150" spans="1:12" ht="37.5" x14ac:dyDescent="0.25">
      <c r="A150" s="225"/>
      <c r="B150" s="227"/>
      <c r="C150" s="33" t="s">
        <v>149</v>
      </c>
      <c r="D150" s="34">
        <v>0.1</v>
      </c>
      <c r="E150" s="30" t="s">
        <v>148</v>
      </c>
      <c r="F150" s="31">
        <f t="shared" si="10"/>
        <v>50256</v>
      </c>
      <c r="G150" s="31">
        <v>251.28</v>
      </c>
      <c r="H150" s="35">
        <v>2000</v>
      </c>
      <c r="I150" s="32"/>
      <c r="J150" s="31">
        <f t="shared" si="8"/>
        <v>0</v>
      </c>
      <c r="K150" s="30"/>
      <c r="L150" s="31">
        <f t="shared" si="9"/>
        <v>0</v>
      </c>
    </row>
    <row r="151" spans="1:12" ht="18.75" x14ac:dyDescent="0.25">
      <c r="A151" s="222"/>
      <c r="B151" s="228"/>
      <c r="C151" s="33" t="s">
        <v>150</v>
      </c>
      <c r="D151" s="34">
        <v>0.1</v>
      </c>
      <c r="E151" s="30" t="s">
        <v>148</v>
      </c>
      <c r="F151" s="31">
        <f t="shared" si="10"/>
        <v>50256</v>
      </c>
      <c r="G151" s="31">
        <v>251.28</v>
      </c>
      <c r="H151" s="35">
        <v>2000</v>
      </c>
      <c r="I151" s="32"/>
      <c r="J151" s="31">
        <f t="shared" si="8"/>
        <v>0</v>
      </c>
      <c r="K151" s="30"/>
      <c r="L151" s="31">
        <f t="shared" si="9"/>
        <v>0</v>
      </c>
    </row>
    <row r="152" spans="1:12" ht="18.75" x14ac:dyDescent="0.25">
      <c r="A152" s="15"/>
      <c r="B152" s="33"/>
      <c r="C152" s="33"/>
      <c r="D152" s="29"/>
      <c r="E152" s="30"/>
      <c r="F152" s="31"/>
      <c r="G152" s="31"/>
      <c r="H152" s="36"/>
      <c r="I152" s="32"/>
      <c r="J152" s="31">
        <f t="shared" si="8"/>
        <v>0</v>
      </c>
      <c r="K152" s="30"/>
      <c r="L152" s="31">
        <f t="shared" si="9"/>
        <v>0</v>
      </c>
    </row>
    <row r="153" spans="1:12" ht="18.75" x14ac:dyDescent="0.25">
      <c r="A153" s="15" t="s">
        <v>157</v>
      </c>
      <c r="B153" s="229" t="s">
        <v>158</v>
      </c>
      <c r="C153" s="230"/>
      <c r="D153" s="26"/>
      <c r="E153" s="30"/>
      <c r="F153" s="31"/>
      <c r="G153" s="31"/>
      <c r="H153" s="32"/>
      <c r="I153" s="32"/>
      <c r="J153" s="31">
        <f t="shared" si="8"/>
        <v>0</v>
      </c>
      <c r="K153" s="30"/>
      <c r="L153" s="31">
        <f t="shared" si="9"/>
        <v>0</v>
      </c>
    </row>
    <row r="154" spans="1:12" s="19" customFormat="1" ht="36" customHeight="1" x14ac:dyDescent="0.25">
      <c r="A154" s="221" t="s">
        <v>159</v>
      </c>
      <c r="B154" s="226" t="s">
        <v>160</v>
      </c>
      <c r="C154" s="33" t="s">
        <v>37</v>
      </c>
      <c r="D154" s="34">
        <v>0.9</v>
      </c>
      <c r="E154" s="30" t="s">
        <v>17</v>
      </c>
      <c r="F154" s="31">
        <f t="shared" si="10"/>
        <v>552816</v>
      </c>
      <c r="G154" s="31">
        <v>153.56</v>
      </c>
      <c r="H154" s="35">
        <v>4000</v>
      </c>
      <c r="I154" s="32"/>
      <c r="J154" s="31">
        <f t="shared" si="8"/>
        <v>0</v>
      </c>
      <c r="K154" s="30"/>
      <c r="L154" s="31">
        <f t="shared" si="9"/>
        <v>0</v>
      </c>
    </row>
    <row r="155" spans="1:12" s="19" customFormat="1" ht="59.25" customHeight="1" x14ac:dyDescent="0.25">
      <c r="A155" s="222"/>
      <c r="B155" s="228"/>
      <c r="C155" s="33" t="s">
        <v>38</v>
      </c>
      <c r="D155" s="34">
        <v>0.1</v>
      </c>
      <c r="E155" s="30" t="s">
        <v>17</v>
      </c>
      <c r="F155" s="31">
        <f t="shared" si="10"/>
        <v>61424.000000000007</v>
      </c>
      <c r="G155" s="31">
        <v>153.56</v>
      </c>
      <c r="H155" s="35">
        <v>4000</v>
      </c>
      <c r="I155" s="32"/>
      <c r="J155" s="31">
        <f t="shared" si="8"/>
        <v>0</v>
      </c>
      <c r="K155" s="30"/>
      <c r="L155" s="31">
        <f t="shared" si="9"/>
        <v>0</v>
      </c>
    </row>
    <row r="156" spans="1:12" s="19" customFormat="1" ht="37.5" x14ac:dyDescent="0.25">
      <c r="A156" s="221" t="s">
        <v>161</v>
      </c>
      <c r="B156" s="226" t="s">
        <v>162</v>
      </c>
      <c r="C156" s="33" t="s">
        <v>37</v>
      </c>
      <c r="D156" s="34">
        <v>0.9</v>
      </c>
      <c r="E156" s="30" t="s">
        <v>148</v>
      </c>
      <c r="F156" s="31">
        <f t="shared" si="10"/>
        <v>603072.00000000012</v>
      </c>
      <c r="G156" s="31">
        <v>55.84</v>
      </c>
      <c r="H156" s="35">
        <v>12000</v>
      </c>
      <c r="I156" s="32">
        <v>1498.4</v>
      </c>
      <c r="J156" s="31">
        <f t="shared" si="8"/>
        <v>75303.590400000016</v>
      </c>
      <c r="K156" s="30"/>
      <c r="L156" s="31">
        <f t="shared" si="9"/>
        <v>0</v>
      </c>
    </row>
    <row r="157" spans="1:12" s="19" customFormat="1" ht="46.5" customHeight="1" x14ac:dyDescent="0.25">
      <c r="A157" s="222"/>
      <c r="B157" s="228"/>
      <c r="C157" s="33" t="s">
        <v>38</v>
      </c>
      <c r="D157" s="34">
        <v>0.1</v>
      </c>
      <c r="E157" s="30" t="s">
        <v>148</v>
      </c>
      <c r="F157" s="31">
        <f t="shared" si="10"/>
        <v>67008</v>
      </c>
      <c r="G157" s="31">
        <v>55.84</v>
      </c>
      <c r="H157" s="35">
        <v>12000</v>
      </c>
      <c r="I157" s="32"/>
      <c r="J157" s="31">
        <f t="shared" si="8"/>
        <v>0</v>
      </c>
      <c r="K157" s="30"/>
      <c r="L157" s="31">
        <f t="shared" si="9"/>
        <v>0</v>
      </c>
    </row>
    <row r="158" spans="1:12" s="19" customFormat="1" ht="18.75" x14ac:dyDescent="0.25">
      <c r="A158" s="15"/>
      <c r="B158" s="33"/>
      <c r="C158" s="33"/>
      <c r="D158" s="29"/>
      <c r="E158" s="30"/>
      <c r="F158" s="31">
        <f t="shared" si="10"/>
        <v>0</v>
      </c>
      <c r="G158" s="31"/>
      <c r="H158" s="36"/>
      <c r="I158" s="32"/>
      <c r="J158" s="31">
        <f t="shared" si="8"/>
        <v>0</v>
      </c>
      <c r="K158" s="30"/>
      <c r="L158" s="31">
        <f t="shared" si="9"/>
        <v>0</v>
      </c>
    </row>
    <row r="159" spans="1:12" s="19" customFormat="1" ht="37.5" x14ac:dyDescent="0.25">
      <c r="A159" s="221" t="s">
        <v>163</v>
      </c>
      <c r="B159" s="223" t="s">
        <v>164</v>
      </c>
      <c r="C159" s="33" t="s">
        <v>37</v>
      </c>
      <c r="D159" s="34">
        <v>0.9</v>
      </c>
      <c r="E159" s="30" t="s">
        <v>47</v>
      </c>
      <c r="F159" s="31">
        <f t="shared" si="10"/>
        <v>321638.40000000002</v>
      </c>
      <c r="G159" s="31">
        <v>1786.88</v>
      </c>
      <c r="H159" s="35">
        <v>200</v>
      </c>
      <c r="I159" s="32"/>
      <c r="J159" s="31">
        <f t="shared" si="8"/>
        <v>0</v>
      </c>
      <c r="K159" s="30"/>
      <c r="L159" s="31">
        <f t="shared" si="9"/>
        <v>0</v>
      </c>
    </row>
    <row r="160" spans="1:12" s="19" customFormat="1" ht="37.5" x14ac:dyDescent="0.25">
      <c r="A160" s="222"/>
      <c r="B160" s="224"/>
      <c r="C160" s="33" t="s">
        <v>38</v>
      </c>
      <c r="D160" s="34">
        <v>0.1</v>
      </c>
      <c r="E160" s="30" t="s">
        <v>47</v>
      </c>
      <c r="F160" s="31">
        <f t="shared" si="10"/>
        <v>35737.600000000006</v>
      </c>
      <c r="G160" s="31">
        <v>1786.88</v>
      </c>
      <c r="H160" s="35">
        <v>200</v>
      </c>
      <c r="I160" s="32"/>
      <c r="J160" s="31">
        <f t="shared" si="8"/>
        <v>0</v>
      </c>
      <c r="K160" s="30"/>
      <c r="L160" s="31">
        <f t="shared" si="9"/>
        <v>0</v>
      </c>
    </row>
    <row r="161" spans="1:12" s="19" customFormat="1" ht="18.75" x14ac:dyDescent="0.25">
      <c r="A161" s="15"/>
      <c r="B161" s="40"/>
      <c r="C161" s="40"/>
      <c r="D161" s="26"/>
      <c r="E161" s="30"/>
      <c r="F161" s="31">
        <f t="shared" si="10"/>
        <v>0</v>
      </c>
      <c r="G161" s="31"/>
      <c r="H161" s="35"/>
      <c r="I161" s="32"/>
      <c r="J161" s="31">
        <f t="shared" si="8"/>
        <v>0</v>
      </c>
      <c r="K161" s="30"/>
      <c r="L161" s="31">
        <f t="shared" si="9"/>
        <v>0</v>
      </c>
    </row>
    <row r="162" spans="1:12" s="19" customFormat="1" ht="37.5" x14ac:dyDescent="0.25">
      <c r="A162" s="221" t="s">
        <v>165</v>
      </c>
      <c r="B162" s="223" t="s">
        <v>166</v>
      </c>
      <c r="C162" s="33" t="s">
        <v>37</v>
      </c>
      <c r="D162" s="34">
        <v>0.9</v>
      </c>
      <c r="E162" s="30" t="s">
        <v>47</v>
      </c>
      <c r="F162" s="31">
        <f t="shared" si="10"/>
        <v>276408</v>
      </c>
      <c r="G162" s="31">
        <v>6980</v>
      </c>
      <c r="H162" s="35">
        <v>44</v>
      </c>
      <c r="I162" s="32"/>
      <c r="J162" s="31">
        <f t="shared" si="8"/>
        <v>0</v>
      </c>
      <c r="K162" s="30"/>
      <c r="L162" s="31">
        <f t="shared" si="9"/>
        <v>0</v>
      </c>
    </row>
    <row r="163" spans="1:12" ht="37.5" x14ac:dyDescent="0.3">
      <c r="A163" s="222"/>
      <c r="B163" s="224"/>
      <c r="C163" s="33" t="s">
        <v>38</v>
      </c>
      <c r="D163" s="34">
        <v>0.1</v>
      </c>
      <c r="E163" s="30" t="s">
        <v>47</v>
      </c>
      <c r="F163" s="31">
        <f t="shared" si="10"/>
        <v>30712</v>
      </c>
      <c r="G163" s="31">
        <v>6980</v>
      </c>
      <c r="H163" s="35">
        <v>44</v>
      </c>
      <c r="I163" s="44"/>
      <c r="J163" s="31">
        <f t="shared" si="8"/>
        <v>0</v>
      </c>
      <c r="K163" s="30"/>
      <c r="L163" s="31">
        <f t="shared" si="9"/>
        <v>0</v>
      </c>
    </row>
    <row r="164" spans="1:12" s="16" customFormat="1" ht="18.75" x14ac:dyDescent="0.3">
      <c r="A164" s="220" t="s">
        <v>167</v>
      </c>
      <c r="B164" s="220"/>
      <c r="C164" s="220"/>
      <c r="D164" s="220"/>
      <c r="E164" s="220"/>
      <c r="F164" s="220"/>
      <c r="G164" s="220"/>
      <c r="H164" s="220"/>
      <c r="I164" s="220"/>
      <c r="J164" s="22">
        <f>SUM(J10:J163)</f>
        <v>662784.57938400004</v>
      </c>
      <c r="K164" s="15"/>
      <c r="L164" s="22">
        <f>SUM(L10:L163)</f>
        <v>638977.08510000014</v>
      </c>
    </row>
    <row r="165" spans="1:12" s="16" customFormat="1" ht="18.75" x14ac:dyDescent="0.3">
      <c r="A165" s="220" t="s">
        <v>168</v>
      </c>
      <c r="B165" s="220"/>
      <c r="C165" s="220"/>
      <c r="D165" s="220"/>
      <c r="E165" s="220"/>
      <c r="F165" s="220"/>
      <c r="G165" s="220"/>
      <c r="H165" s="220"/>
      <c r="I165" s="220"/>
      <c r="J165" s="22">
        <f>J164*18%</f>
        <v>119301.22428912</v>
      </c>
      <c r="K165" s="46"/>
      <c r="L165" s="22">
        <f>L164*18%</f>
        <v>115015.87531800002</v>
      </c>
    </row>
    <row r="166" spans="1:12" s="16" customFormat="1" ht="18.75" x14ac:dyDescent="0.3">
      <c r="A166" s="220" t="s">
        <v>169</v>
      </c>
      <c r="B166" s="220"/>
      <c r="C166" s="220"/>
      <c r="D166" s="220"/>
      <c r="E166" s="220"/>
      <c r="F166" s="220"/>
      <c r="G166" s="220"/>
      <c r="H166" s="220"/>
      <c r="I166" s="220"/>
      <c r="J166" s="22">
        <f>J164+J165</f>
        <v>782085.80367311998</v>
      </c>
      <c r="K166" s="46"/>
      <c r="L166" s="22">
        <f>L164+L165</f>
        <v>753992.96041800012</v>
      </c>
    </row>
  </sheetData>
  <mergeCells count="137">
    <mergeCell ref="I7:J7"/>
    <mergeCell ref="A16:A18"/>
    <mergeCell ref="B16:B18"/>
    <mergeCell ref="A5:J5"/>
    <mergeCell ref="B7:C7"/>
    <mergeCell ref="A8:E8"/>
    <mergeCell ref="B9:C9"/>
    <mergeCell ref="K7:L7"/>
    <mergeCell ref="A1:J1"/>
    <mergeCell ref="B2:C2"/>
    <mergeCell ref="I2:J2"/>
    <mergeCell ref="B3:C3"/>
    <mergeCell ref="I3:J3"/>
    <mergeCell ref="B4:C4"/>
    <mergeCell ref="A10:A12"/>
    <mergeCell ref="B10:B12"/>
    <mergeCell ref="A19:A21"/>
    <mergeCell ref="B19:B21"/>
    <mergeCell ref="B23:C23"/>
    <mergeCell ref="A24:A26"/>
    <mergeCell ref="B24:B26"/>
    <mergeCell ref="A27:A29"/>
    <mergeCell ref="B27:B29"/>
    <mergeCell ref="A13:A15"/>
    <mergeCell ref="B13:B15"/>
    <mergeCell ref="B40:C40"/>
    <mergeCell ref="A41:A42"/>
    <mergeCell ref="B41:B42"/>
    <mergeCell ref="B44:C44"/>
    <mergeCell ref="A45:A46"/>
    <mergeCell ref="B45:B46"/>
    <mergeCell ref="A30:A32"/>
    <mergeCell ref="B30:B32"/>
    <mergeCell ref="A33:A35"/>
    <mergeCell ref="B33:B35"/>
    <mergeCell ref="A37:A38"/>
    <mergeCell ref="B37:B38"/>
    <mergeCell ref="A55:A56"/>
    <mergeCell ref="B55:B56"/>
    <mergeCell ref="A57:A58"/>
    <mergeCell ref="B57:B58"/>
    <mergeCell ref="A59:E59"/>
    <mergeCell ref="A60:A61"/>
    <mergeCell ref="B60:C60"/>
    <mergeCell ref="B61:C61"/>
    <mergeCell ref="A47:A48"/>
    <mergeCell ref="B47:B48"/>
    <mergeCell ref="A49:A50"/>
    <mergeCell ref="B49:B50"/>
    <mergeCell ref="B52:C52"/>
    <mergeCell ref="A53:A54"/>
    <mergeCell ref="B53:B54"/>
    <mergeCell ref="A71:A73"/>
    <mergeCell ref="B71:B73"/>
    <mergeCell ref="A74:A76"/>
    <mergeCell ref="B74:B76"/>
    <mergeCell ref="A77:A79"/>
    <mergeCell ref="B77:B79"/>
    <mergeCell ref="A62:A64"/>
    <mergeCell ref="B62:B64"/>
    <mergeCell ref="A65:A67"/>
    <mergeCell ref="B65:B67"/>
    <mergeCell ref="A68:A70"/>
    <mergeCell ref="B68:B70"/>
    <mergeCell ref="B90:C90"/>
    <mergeCell ref="A91:A92"/>
    <mergeCell ref="B91:B92"/>
    <mergeCell ref="A93:A94"/>
    <mergeCell ref="B93:B94"/>
    <mergeCell ref="B96:C96"/>
    <mergeCell ref="A81:A82"/>
    <mergeCell ref="B81:B82"/>
    <mergeCell ref="B84:C84"/>
    <mergeCell ref="A85:A86"/>
    <mergeCell ref="B85:B86"/>
    <mergeCell ref="A87:A88"/>
    <mergeCell ref="B87:B88"/>
    <mergeCell ref="B103:B104"/>
    <mergeCell ref="B106:C106"/>
    <mergeCell ref="A107:A108"/>
    <mergeCell ref="B107:B108"/>
    <mergeCell ref="A109:A110"/>
    <mergeCell ref="B109:B110"/>
    <mergeCell ref="A97:A98"/>
    <mergeCell ref="B97:B98"/>
    <mergeCell ref="A99:D99"/>
    <mergeCell ref="B100:C100"/>
    <mergeCell ref="A101:A102"/>
    <mergeCell ref="B101:B102"/>
    <mergeCell ref="A119:A120"/>
    <mergeCell ref="B119:B120"/>
    <mergeCell ref="A121:A122"/>
    <mergeCell ref="B121:B122"/>
    <mergeCell ref="A123:E123"/>
    <mergeCell ref="A124:A125"/>
    <mergeCell ref="B124:B125"/>
    <mergeCell ref="A111:A112"/>
    <mergeCell ref="B111:B112"/>
    <mergeCell ref="B114:C114"/>
    <mergeCell ref="A115:A116"/>
    <mergeCell ref="B115:B116"/>
    <mergeCell ref="A117:A118"/>
    <mergeCell ref="B117:B118"/>
    <mergeCell ref="A134:A135"/>
    <mergeCell ref="B134:B135"/>
    <mergeCell ref="A136:A137"/>
    <mergeCell ref="B136:B137"/>
    <mergeCell ref="A126:A127"/>
    <mergeCell ref="B126:B127"/>
    <mergeCell ref="A128:E128"/>
    <mergeCell ref="B129:C129"/>
    <mergeCell ref="A130:A131"/>
    <mergeCell ref="B130:B131"/>
    <mergeCell ref="M7:M8"/>
    <mergeCell ref="A166:I166"/>
    <mergeCell ref="A159:A160"/>
    <mergeCell ref="B159:B160"/>
    <mergeCell ref="A162:A163"/>
    <mergeCell ref="B162:B163"/>
    <mergeCell ref="A164:I164"/>
    <mergeCell ref="A165:I165"/>
    <mergeCell ref="A149:A151"/>
    <mergeCell ref="B149:B151"/>
    <mergeCell ref="B153:C153"/>
    <mergeCell ref="A154:A155"/>
    <mergeCell ref="B154:B155"/>
    <mergeCell ref="A156:A157"/>
    <mergeCell ref="B156:B157"/>
    <mergeCell ref="B139:C139"/>
    <mergeCell ref="A140:A142"/>
    <mergeCell ref="B140:B142"/>
    <mergeCell ref="A143:A145"/>
    <mergeCell ref="B143:B145"/>
    <mergeCell ref="A146:A148"/>
    <mergeCell ref="B146:B148"/>
    <mergeCell ref="B132:C132"/>
    <mergeCell ref="B133:C133"/>
  </mergeCells>
  <phoneticPr fontId="10" type="noConversion"/>
  <pageMargins left="0" right="0" top="0" bottom="0" header="0" footer="0"/>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21"/>
  <sheetViews>
    <sheetView topLeftCell="A81" zoomScale="70" zoomScaleNormal="70" zoomScaleSheetLayoutView="50" workbookViewId="0">
      <selection activeCell="E78" sqref="E78"/>
    </sheetView>
  </sheetViews>
  <sheetFormatPr defaultColWidth="8" defaultRowHeight="20.25" x14ac:dyDescent="0.25"/>
  <cols>
    <col min="1" max="1" width="18.5703125" style="47" customWidth="1"/>
    <col min="2" max="2" width="184.28515625" style="69" customWidth="1"/>
    <col min="3" max="3" width="19.7109375" style="69" customWidth="1"/>
    <col min="4" max="4" width="15.7109375" style="112" customWidth="1"/>
    <col min="5" max="5" width="15.7109375" style="69" customWidth="1"/>
    <col min="6" max="6" width="24.140625" style="69" bestFit="1" customWidth="1"/>
    <col min="7" max="8" width="14.28515625" style="47" hidden="1" customWidth="1"/>
    <col min="9" max="9" width="12.42578125" style="47" hidden="1" customWidth="1"/>
    <col min="10" max="10" width="21.7109375" style="47" hidden="1" customWidth="1"/>
    <col min="11" max="11" width="14.28515625" style="134" customWidth="1"/>
    <col min="12" max="12" width="14.42578125" style="47" customWidth="1"/>
    <col min="13" max="13" width="20" style="47" customWidth="1"/>
    <col min="14" max="14" width="14.28515625" style="47" customWidth="1"/>
    <col min="15" max="15" width="14.42578125" style="47" customWidth="1"/>
    <col min="16" max="16" width="20" style="47" customWidth="1"/>
    <col min="17" max="17" width="8" style="47"/>
    <col min="18" max="18" width="32.85546875" style="47" customWidth="1"/>
    <col min="19" max="19" width="10.5703125" style="47" customWidth="1"/>
    <col min="20" max="20" width="14.28515625" style="47" customWidth="1"/>
    <col min="21" max="21" width="13.5703125" style="47" customWidth="1"/>
    <col min="22" max="23" width="14.28515625" style="47" customWidth="1"/>
    <col min="24" max="30" width="8" style="47"/>
    <col min="31" max="31" width="11.140625" style="47" customWidth="1"/>
    <col min="32" max="32" width="14.85546875" style="47" customWidth="1"/>
    <col min="33" max="33" width="11.42578125" style="47" customWidth="1"/>
    <col min="34" max="34" width="14.28515625" style="47" customWidth="1"/>
    <col min="35" max="16384" width="8" style="47"/>
  </cols>
  <sheetData>
    <row r="1" spans="1:34" ht="131.1" customHeight="1" x14ac:dyDescent="0.25">
      <c r="A1" s="268" t="s">
        <v>380</v>
      </c>
      <c r="B1" s="269"/>
      <c r="C1" s="269"/>
      <c r="D1" s="269"/>
      <c r="E1" s="269"/>
      <c r="F1" s="269"/>
    </row>
    <row r="2" spans="1:34" s="49" customFormat="1" ht="89.25" customHeight="1" x14ac:dyDescent="0.25">
      <c r="A2" s="71" t="s">
        <v>175</v>
      </c>
      <c r="B2" s="72"/>
      <c r="C2" s="73" t="s">
        <v>177</v>
      </c>
      <c r="D2" s="101" t="s">
        <v>178</v>
      </c>
      <c r="E2" s="123" t="s">
        <v>176</v>
      </c>
      <c r="F2" s="74"/>
      <c r="G2" s="70"/>
      <c r="I2" s="131" t="s">
        <v>355</v>
      </c>
      <c r="J2" s="70"/>
      <c r="K2" s="130"/>
      <c r="L2" s="70"/>
      <c r="M2" s="70"/>
      <c r="N2" s="70"/>
      <c r="O2" s="70"/>
      <c r="P2" s="70"/>
      <c r="Q2" s="70"/>
      <c r="R2" s="70"/>
      <c r="S2" s="70"/>
      <c r="T2" s="70"/>
      <c r="U2" s="70"/>
      <c r="V2" s="70"/>
      <c r="W2" s="70"/>
      <c r="X2" s="51"/>
      <c r="Y2" s="51"/>
      <c r="Z2" s="51"/>
      <c r="AA2" s="51"/>
      <c r="AB2" s="51"/>
      <c r="AC2" s="51"/>
      <c r="AD2" s="51"/>
      <c r="AE2" s="51"/>
      <c r="AF2" s="51"/>
      <c r="AG2" s="51"/>
      <c r="AH2" s="51"/>
    </row>
    <row r="3" spans="1:34" s="48" customFormat="1" ht="29.25" customHeight="1" x14ac:dyDescent="0.25">
      <c r="A3" s="75">
        <v>1</v>
      </c>
      <c r="B3" s="76"/>
      <c r="C3" s="77"/>
      <c r="D3" s="101"/>
      <c r="E3" s="124"/>
      <c r="F3" s="77"/>
      <c r="G3" s="70"/>
      <c r="H3" s="70"/>
      <c r="I3" s="50"/>
      <c r="J3" s="70"/>
      <c r="K3" s="130"/>
      <c r="L3" s="70"/>
      <c r="M3" s="70"/>
      <c r="N3" s="70"/>
      <c r="O3" s="70"/>
      <c r="P3" s="70"/>
      <c r="Q3" s="70"/>
      <c r="R3" s="70"/>
      <c r="S3" s="70"/>
      <c r="T3" s="70"/>
      <c r="U3" s="70"/>
      <c r="V3" s="70"/>
      <c r="W3" s="70"/>
      <c r="X3" s="51"/>
      <c r="Y3" s="51"/>
      <c r="Z3" s="51"/>
      <c r="AA3" s="51"/>
      <c r="AB3" s="51"/>
      <c r="AC3" s="51"/>
      <c r="AD3" s="51"/>
      <c r="AE3" s="51" t="s">
        <v>179</v>
      </c>
      <c r="AF3" s="51"/>
      <c r="AH3" s="51"/>
    </row>
    <row r="4" spans="1:34" s="52" customFormat="1" ht="42" customHeight="1" x14ac:dyDescent="0.25">
      <c r="A4" s="259" t="s">
        <v>180</v>
      </c>
      <c r="B4" s="260"/>
      <c r="C4" s="78"/>
      <c r="D4" s="102"/>
      <c r="E4" s="125"/>
      <c r="F4" s="78"/>
      <c r="G4" s="53"/>
      <c r="H4" s="53"/>
      <c r="I4" s="53"/>
      <c r="J4" s="53"/>
      <c r="K4" s="135"/>
      <c r="L4" s="53"/>
      <c r="M4" s="53"/>
      <c r="N4" s="53"/>
      <c r="O4" s="53"/>
      <c r="P4" s="53"/>
      <c r="Q4" s="53"/>
      <c r="R4" s="53"/>
      <c r="S4" s="53"/>
      <c r="T4" s="53"/>
      <c r="U4" s="53"/>
      <c r="V4" s="53"/>
      <c r="W4" s="53"/>
      <c r="X4" s="53"/>
      <c r="Y4" s="53"/>
      <c r="Z4" s="53"/>
      <c r="AA4" s="53"/>
      <c r="AB4" s="53"/>
      <c r="AC4" s="53"/>
      <c r="AD4" s="53"/>
      <c r="AE4" s="54">
        <v>0.2</v>
      </c>
      <c r="AF4" s="53" t="s">
        <v>181</v>
      </c>
      <c r="AH4" s="53" t="s">
        <v>182</v>
      </c>
    </row>
    <row r="5" spans="1:34" ht="168.75" customHeight="1" x14ac:dyDescent="0.25">
      <c r="A5" s="257" t="s">
        <v>131</v>
      </c>
      <c r="B5" s="79" t="s">
        <v>183</v>
      </c>
      <c r="C5" s="80"/>
      <c r="D5" s="103"/>
      <c r="E5" s="126"/>
      <c r="F5" s="80"/>
      <c r="G5" s="51"/>
      <c r="H5" s="51"/>
      <c r="I5" s="51"/>
      <c r="J5" s="51"/>
      <c r="K5" s="136"/>
      <c r="L5" s="51"/>
      <c r="M5" s="51"/>
      <c r="N5" s="51"/>
      <c r="O5" s="51"/>
      <c r="P5" s="51"/>
      <c r="Q5" s="51"/>
      <c r="R5" s="51"/>
      <c r="S5" s="51"/>
      <c r="T5" s="51"/>
      <c r="U5" s="51"/>
      <c r="V5" s="51"/>
      <c r="W5" s="51"/>
      <c r="X5" s="51"/>
      <c r="Y5" s="51"/>
      <c r="Z5" s="51"/>
      <c r="AA5" s="51"/>
      <c r="AB5" s="51"/>
      <c r="AC5" s="51"/>
      <c r="AD5" s="51"/>
      <c r="AE5" s="51"/>
      <c r="AF5" s="51"/>
      <c r="AG5" s="51"/>
      <c r="AH5" s="51"/>
    </row>
    <row r="6" spans="1:34" ht="60" customHeight="1" x14ac:dyDescent="0.25">
      <c r="A6" s="261"/>
      <c r="B6" s="81" t="s">
        <v>184</v>
      </c>
      <c r="C6" s="80"/>
      <c r="D6" s="104"/>
      <c r="E6" s="125"/>
      <c r="F6" s="80"/>
      <c r="G6" s="60"/>
      <c r="H6" s="60"/>
      <c r="I6" s="60"/>
      <c r="J6" s="60"/>
      <c r="K6" s="137"/>
      <c r="L6" s="60"/>
      <c r="M6" s="60"/>
      <c r="N6" s="60"/>
      <c r="O6" s="60"/>
      <c r="P6" s="60"/>
      <c r="Q6" s="60"/>
      <c r="R6" s="60"/>
      <c r="S6" s="60"/>
      <c r="T6" s="60"/>
      <c r="U6" s="60"/>
      <c r="V6" s="60"/>
      <c r="W6" s="60"/>
      <c r="X6" s="60"/>
      <c r="Y6" s="60"/>
      <c r="Z6" s="60"/>
      <c r="AA6" s="60"/>
      <c r="AB6" s="60"/>
      <c r="AC6" s="60"/>
      <c r="AD6" s="60"/>
      <c r="AE6" s="60"/>
      <c r="AF6" s="60"/>
      <c r="AG6" s="60"/>
      <c r="AH6" s="60"/>
    </row>
    <row r="7" spans="1:34" ht="60" customHeight="1" x14ac:dyDescent="0.25">
      <c r="A7" s="261"/>
      <c r="B7" s="81" t="s">
        <v>360</v>
      </c>
      <c r="C7" s="80"/>
      <c r="D7" s="104"/>
      <c r="E7" s="125"/>
      <c r="F7" s="80"/>
      <c r="G7" s="60"/>
      <c r="H7" s="60"/>
      <c r="I7" s="60"/>
      <c r="J7" s="60"/>
      <c r="K7" s="137"/>
      <c r="L7" s="60"/>
      <c r="M7" s="60"/>
      <c r="N7" s="60"/>
      <c r="O7" s="60"/>
      <c r="P7" s="60"/>
      <c r="Q7" s="60"/>
      <c r="R7" s="60"/>
      <c r="S7" s="60"/>
      <c r="T7" s="60"/>
      <c r="U7" s="60"/>
      <c r="V7" s="60"/>
      <c r="W7" s="60"/>
      <c r="X7" s="60"/>
      <c r="Y7" s="60"/>
      <c r="Z7" s="60"/>
      <c r="AA7" s="60"/>
      <c r="AB7" s="60"/>
      <c r="AC7" s="60"/>
      <c r="AD7" s="60"/>
      <c r="AE7" s="60"/>
      <c r="AF7" s="60"/>
      <c r="AG7" s="60"/>
      <c r="AH7" s="60"/>
    </row>
    <row r="8" spans="1:34" ht="103.5" customHeight="1" x14ac:dyDescent="0.25">
      <c r="A8" s="261"/>
      <c r="B8" s="79" t="s">
        <v>185</v>
      </c>
      <c r="C8" s="80"/>
      <c r="D8" s="103"/>
      <c r="E8" s="126"/>
      <c r="F8" s="80"/>
      <c r="G8" s="51"/>
      <c r="H8" s="51"/>
      <c r="I8" s="51"/>
      <c r="J8" s="51"/>
      <c r="K8" s="136"/>
      <c r="L8" s="51"/>
      <c r="M8" s="51"/>
      <c r="N8" s="51"/>
      <c r="O8" s="51"/>
      <c r="P8" s="51"/>
      <c r="Q8" s="51"/>
      <c r="R8" s="51"/>
      <c r="S8" s="51"/>
      <c r="T8" s="51"/>
      <c r="U8" s="51"/>
      <c r="V8" s="51"/>
      <c r="W8" s="51"/>
      <c r="X8" s="51"/>
      <c r="Y8" s="51"/>
      <c r="Z8" s="51"/>
      <c r="AA8" s="51"/>
      <c r="AB8" s="51"/>
      <c r="AC8" s="51"/>
      <c r="AD8" s="51"/>
      <c r="AE8" s="51"/>
      <c r="AF8" s="51"/>
      <c r="AG8" s="51"/>
      <c r="AH8" s="51"/>
    </row>
    <row r="9" spans="1:34" ht="60.75" x14ac:dyDescent="0.25">
      <c r="A9" s="261"/>
      <c r="B9" s="79" t="s">
        <v>186</v>
      </c>
      <c r="C9" s="80"/>
      <c r="D9" s="103"/>
      <c r="E9" s="126"/>
      <c r="F9" s="80"/>
      <c r="G9" s="51"/>
      <c r="H9" s="51"/>
      <c r="I9" s="51"/>
      <c r="J9" s="51"/>
      <c r="K9" s="136"/>
      <c r="L9" s="51"/>
      <c r="M9" s="51"/>
      <c r="N9" s="51"/>
      <c r="O9" s="51"/>
      <c r="P9" s="51"/>
      <c r="Q9" s="51"/>
      <c r="R9" s="51"/>
      <c r="S9" s="51"/>
      <c r="T9" s="51"/>
      <c r="U9" s="51"/>
      <c r="V9" s="51"/>
      <c r="W9" s="51"/>
      <c r="X9" s="51"/>
      <c r="Y9" s="51"/>
      <c r="Z9" s="51"/>
      <c r="AA9" s="51"/>
      <c r="AB9" s="51"/>
      <c r="AC9" s="51"/>
      <c r="AD9" s="51"/>
      <c r="AE9" s="51"/>
      <c r="AF9" s="51"/>
      <c r="AG9" s="51"/>
      <c r="AH9" s="51"/>
    </row>
    <row r="10" spans="1:34" ht="131.25" customHeight="1" x14ac:dyDescent="0.25">
      <c r="A10" s="261"/>
      <c r="B10" s="79" t="s">
        <v>266</v>
      </c>
      <c r="C10" s="80"/>
      <c r="D10" s="103"/>
      <c r="E10" s="126"/>
      <c r="F10" s="80"/>
      <c r="G10" s="51"/>
      <c r="H10" s="51"/>
      <c r="I10" s="51"/>
      <c r="J10" s="51"/>
      <c r="K10" s="136"/>
      <c r="L10" s="51"/>
      <c r="M10" s="51"/>
      <c r="N10" s="51"/>
      <c r="O10" s="51"/>
      <c r="P10" s="51"/>
      <c r="Q10" s="51"/>
      <c r="R10" s="51"/>
      <c r="S10" s="51"/>
      <c r="T10" s="51"/>
      <c r="U10" s="51"/>
      <c r="V10" s="51"/>
      <c r="W10" s="51"/>
      <c r="X10" s="51"/>
      <c r="Y10" s="51"/>
      <c r="Z10" s="51"/>
      <c r="AA10" s="51"/>
      <c r="AB10" s="51"/>
      <c r="AC10" s="51"/>
      <c r="AD10" s="51"/>
      <c r="AE10" s="51"/>
      <c r="AF10" s="51"/>
      <c r="AG10" s="51"/>
      <c r="AH10" s="51"/>
    </row>
    <row r="11" spans="1:34" ht="30" customHeight="1" x14ac:dyDescent="0.25">
      <c r="A11" s="261"/>
      <c r="B11" s="79" t="s">
        <v>187</v>
      </c>
      <c r="C11" s="80"/>
      <c r="D11" s="103"/>
      <c r="E11" s="126"/>
      <c r="F11" s="80"/>
      <c r="G11" s="51"/>
      <c r="H11" s="51"/>
      <c r="I11" s="51"/>
      <c r="J11" s="51"/>
      <c r="K11" s="136"/>
      <c r="L11" s="51"/>
      <c r="M11" s="51"/>
      <c r="N11" s="51"/>
      <c r="O11" s="51"/>
      <c r="P11" s="51"/>
      <c r="Q11" s="51"/>
      <c r="R11" s="51"/>
      <c r="S11" s="51"/>
      <c r="T11" s="51"/>
      <c r="U11" s="51"/>
      <c r="V11" s="51"/>
      <c r="W11" s="51"/>
      <c r="X11" s="51"/>
      <c r="Y11" s="51"/>
      <c r="Z11" s="51"/>
      <c r="AA11" s="51"/>
      <c r="AB11" s="51"/>
      <c r="AC11" s="51"/>
      <c r="AD11" s="51"/>
      <c r="AE11" s="51"/>
      <c r="AF11" s="51"/>
      <c r="AG11" s="51"/>
      <c r="AH11" s="51"/>
    </row>
    <row r="12" spans="1:34" ht="101.25" customHeight="1" x14ac:dyDescent="0.25">
      <c r="A12" s="261"/>
      <c r="B12" s="79" t="s">
        <v>188</v>
      </c>
      <c r="C12" s="80"/>
      <c r="D12" s="103"/>
      <c r="E12" s="126"/>
      <c r="F12" s="80"/>
      <c r="G12" s="51"/>
      <c r="H12" s="51"/>
      <c r="I12" s="51"/>
      <c r="J12" s="51"/>
      <c r="K12" s="136"/>
      <c r="L12" s="51"/>
      <c r="M12" s="51"/>
      <c r="N12" s="51"/>
      <c r="O12" s="51"/>
      <c r="P12" s="51"/>
      <c r="Q12" s="51"/>
      <c r="R12" s="51"/>
      <c r="S12" s="51"/>
      <c r="T12" s="51"/>
      <c r="U12" s="51"/>
      <c r="V12" s="51"/>
      <c r="W12" s="51"/>
      <c r="X12" s="51"/>
      <c r="Y12" s="51"/>
      <c r="Z12" s="51"/>
      <c r="AA12" s="51"/>
      <c r="AB12" s="51"/>
      <c r="AC12" s="51"/>
      <c r="AD12" s="51"/>
      <c r="AE12" s="51"/>
      <c r="AF12" s="51"/>
      <c r="AG12" s="51"/>
      <c r="AH12" s="51"/>
    </row>
    <row r="13" spans="1:34" ht="95.25" customHeight="1" x14ac:dyDescent="0.25">
      <c r="A13" s="261"/>
      <c r="B13" s="79" t="s">
        <v>189</v>
      </c>
      <c r="C13" s="80"/>
      <c r="D13" s="103"/>
      <c r="E13" s="126"/>
      <c r="F13" s="80"/>
      <c r="G13" s="51"/>
      <c r="H13" s="51"/>
      <c r="I13" s="51"/>
      <c r="J13" s="51"/>
      <c r="K13" s="136"/>
      <c r="L13" s="51"/>
      <c r="M13" s="51"/>
      <c r="N13" s="51"/>
      <c r="O13" s="51"/>
      <c r="P13" s="51"/>
      <c r="Q13" s="51"/>
      <c r="R13" s="51"/>
      <c r="S13" s="51"/>
      <c r="T13" s="51"/>
      <c r="U13" s="51"/>
      <c r="V13" s="51"/>
      <c r="W13" s="51"/>
      <c r="X13" s="51"/>
      <c r="Y13" s="51"/>
      <c r="Z13" s="51"/>
      <c r="AA13" s="51"/>
      <c r="AB13" s="51"/>
      <c r="AC13" s="51"/>
      <c r="AD13" s="51"/>
      <c r="AE13" s="51"/>
      <c r="AF13" s="51"/>
      <c r="AG13" s="51"/>
      <c r="AH13" s="51"/>
    </row>
    <row r="14" spans="1:34" ht="52.5" customHeight="1" x14ac:dyDescent="0.25">
      <c r="A14" s="261"/>
      <c r="B14" s="79" t="s">
        <v>190</v>
      </c>
      <c r="C14" s="80"/>
      <c r="D14" s="103"/>
      <c r="E14" s="126"/>
      <c r="F14" s="80"/>
      <c r="G14" s="51"/>
      <c r="H14" s="51"/>
      <c r="I14" s="51"/>
      <c r="J14" s="51"/>
      <c r="K14" s="136"/>
      <c r="L14" s="51"/>
      <c r="M14" s="51"/>
      <c r="N14" s="51"/>
      <c r="O14" s="51"/>
      <c r="P14" s="51"/>
      <c r="Q14" s="51"/>
      <c r="R14" s="51"/>
      <c r="S14" s="51"/>
      <c r="T14" s="51"/>
      <c r="U14" s="51"/>
      <c r="V14" s="51"/>
      <c r="W14" s="51"/>
      <c r="X14" s="51"/>
      <c r="Y14" s="51"/>
      <c r="Z14" s="51"/>
      <c r="AA14" s="51"/>
      <c r="AB14" s="51"/>
      <c r="AC14" s="51"/>
      <c r="AD14" s="51"/>
      <c r="AE14" s="51"/>
      <c r="AF14" s="51"/>
      <c r="AG14" s="51"/>
      <c r="AH14" s="51"/>
    </row>
    <row r="15" spans="1:34" ht="48" customHeight="1" x14ac:dyDescent="0.25">
      <c r="A15" s="261"/>
      <c r="B15" s="79" t="s">
        <v>191</v>
      </c>
      <c r="C15" s="80"/>
      <c r="D15" s="103"/>
      <c r="E15" s="126"/>
      <c r="F15" s="80"/>
      <c r="G15" s="51"/>
      <c r="H15" s="51"/>
      <c r="I15" s="51"/>
      <c r="J15" s="51"/>
      <c r="K15" s="136"/>
      <c r="L15" s="51"/>
      <c r="M15" s="51"/>
      <c r="N15" s="51"/>
      <c r="O15" s="51"/>
      <c r="P15" s="51"/>
      <c r="Q15" s="51"/>
      <c r="R15" s="51"/>
      <c r="S15" s="51"/>
      <c r="T15" s="51"/>
      <c r="U15" s="51"/>
      <c r="V15" s="51"/>
      <c r="W15" s="51"/>
      <c r="X15" s="51"/>
      <c r="Y15" s="51"/>
      <c r="Z15" s="51"/>
      <c r="AA15" s="51"/>
      <c r="AB15" s="51"/>
      <c r="AC15" s="51"/>
      <c r="AD15" s="51"/>
      <c r="AE15" s="51"/>
      <c r="AF15" s="51"/>
      <c r="AG15" s="51"/>
      <c r="AH15" s="51"/>
    </row>
    <row r="16" spans="1:34" ht="42.75" customHeight="1" x14ac:dyDescent="0.25">
      <c r="A16" s="261"/>
      <c r="B16" s="79" t="s">
        <v>192</v>
      </c>
      <c r="C16" s="80"/>
      <c r="D16" s="103"/>
      <c r="E16" s="126"/>
      <c r="F16" s="80"/>
      <c r="G16" s="51"/>
      <c r="H16" s="51"/>
      <c r="I16" s="51"/>
      <c r="J16" s="51"/>
      <c r="K16" s="136"/>
      <c r="L16" s="51"/>
      <c r="M16" s="51"/>
      <c r="N16" s="51"/>
      <c r="O16" s="51"/>
      <c r="P16" s="51"/>
      <c r="Q16" s="51"/>
      <c r="R16" s="51"/>
      <c r="S16" s="51"/>
      <c r="T16" s="51"/>
      <c r="U16" s="51"/>
      <c r="V16" s="51"/>
      <c r="W16" s="51"/>
      <c r="X16" s="51"/>
      <c r="Y16" s="51"/>
      <c r="Z16" s="51"/>
      <c r="AA16" s="51"/>
      <c r="AB16" s="51"/>
      <c r="AC16" s="51"/>
      <c r="AD16" s="51"/>
      <c r="AE16" s="51"/>
      <c r="AF16" s="51"/>
      <c r="AG16" s="51"/>
      <c r="AH16" s="51"/>
    </row>
    <row r="17" spans="1:34" ht="51.75" customHeight="1" x14ac:dyDescent="0.25">
      <c r="A17" s="261"/>
      <c r="B17" s="79" t="s">
        <v>193</v>
      </c>
      <c r="C17" s="80"/>
      <c r="D17" s="103"/>
      <c r="E17" s="126"/>
      <c r="F17" s="80"/>
      <c r="G17" s="51"/>
      <c r="H17" s="51"/>
      <c r="I17" s="51"/>
      <c r="J17" s="51"/>
      <c r="K17" s="136"/>
      <c r="L17" s="51"/>
      <c r="M17" s="51"/>
      <c r="N17" s="51"/>
      <c r="O17" s="51"/>
      <c r="P17" s="51"/>
      <c r="Q17" s="51"/>
      <c r="R17" s="51"/>
      <c r="S17" s="51"/>
      <c r="T17" s="51"/>
      <c r="U17" s="51"/>
      <c r="V17" s="51"/>
      <c r="W17" s="51"/>
      <c r="X17" s="51"/>
      <c r="Y17" s="51"/>
      <c r="Z17" s="51"/>
      <c r="AA17" s="51"/>
      <c r="AB17" s="51"/>
      <c r="AC17" s="51"/>
      <c r="AD17" s="51"/>
      <c r="AE17" s="51"/>
      <c r="AF17" s="51"/>
      <c r="AG17" s="51"/>
      <c r="AH17" s="51"/>
    </row>
    <row r="18" spans="1:34" ht="24.75" customHeight="1" x14ac:dyDescent="0.25">
      <c r="A18" s="261"/>
      <c r="B18" s="79" t="s">
        <v>194</v>
      </c>
      <c r="C18" s="80"/>
      <c r="D18" s="103"/>
      <c r="E18" s="126"/>
      <c r="F18" s="80"/>
      <c r="G18" s="51"/>
      <c r="H18" s="51"/>
      <c r="I18" s="51"/>
      <c r="J18" s="51"/>
      <c r="K18" s="136"/>
      <c r="L18" s="51"/>
      <c r="M18" s="51"/>
      <c r="N18" s="51"/>
      <c r="O18" s="51"/>
      <c r="P18" s="51"/>
      <c r="Q18" s="51"/>
      <c r="R18" s="51"/>
      <c r="S18" s="51"/>
      <c r="T18" s="51"/>
      <c r="U18" s="51"/>
      <c r="V18" s="51"/>
      <c r="W18" s="51"/>
      <c r="X18" s="51"/>
      <c r="Y18" s="51"/>
      <c r="Z18" s="51"/>
      <c r="AA18" s="51"/>
      <c r="AB18" s="51"/>
      <c r="AC18" s="51"/>
      <c r="AD18" s="51"/>
      <c r="AE18" s="51"/>
      <c r="AF18" s="51"/>
      <c r="AG18" s="51"/>
      <c r="AH18" s="51"/>
    </row>
    <row r="19" spans="1:34" ht="24.75" customHeight="1" x14ac:dyDescent="0.25">
      <c r="A19" s="261"/>
      <c r="B19" s="79" t="s">
        <v>361</v>
      </c>
      <c r="C19" s="80"/>
      <c r="D19" s="103"/>
      <c r="E19" s="126"/>
      <c r="F19" s="80"/>
      <c r="G19" s="51"/>
      <c r="H19" s="51"/>
      <c r="I19" s="51"/>
      <c r="J19" s="51"/>
      <c r="K19" s="136"/>
      <c r="L19" s="51"/>
      <c r="M19" s="51"/>
      <c r="N19" s="51"/>
      <c r="O19" s="51"/>
      <c r="P19" s="51"/>
      <c r="Q19" s="51"/>
      <c r="R19" s="51"/>
      <c r="S19" s="51"/>
      <c r="T19" s="51"/>
      <c r="U19" s="51"/>
      <c r="V19" s="51"/>
      <c r="W19" s="51"/>
      <c r="X19" s="51"/>
      <c r="Y19" s="51"/>
      <c r="Z19" s="51"/>
      <c r="AA19" s="51"/>
      <c r="AB19" s="51"/>
      <c r="AC19" s="51"/>
      <c r="AD19" s="51"/>
      <c r="AE19" s="51"/>
      <c r="AF19" s="51"/>
      <c r="AG19" s="51"/>
      <c r="AH19" s="51"/>
    </row>
    <row r="20" spans="1:34" ht="60.75" x14ac:dyDescent="0.25">
      <c r="A20" s="261"/>
      <c r="B20" s="79" t="s">
        <v>195</v>
      </c>
      <c r="C20" s="80"/>
      <c r="D20" s="103"/>
      <c r="E20" s="126"/>
      <c r="F20" s="80"/>
      <c r="G20" s="51"/>
      <c r="H20" s="51"/>
      <c r="I20" s="51"/>
      <c r="J20" s="51"/>
      <c r="K20" s="136"/>
      <c r="L20" s="51"/>
      <c r="M20" s="51"/>
      <c r="N20" s="51"/>
      <c r="O20" s="51"/>
      <c r="P20" s="51"/>
      <c r="Q20" s="51"/>
      <c r="R20" s="51"/>
      <c r="S20" s="51"/>
      <c r="T20" s="51"/>
      <c r="U20" s="51"/>
      <c r="V20" s="51"/>
      <c r="W20" s="51"/>
      <c r="X20" s="51"/>
      <c r="Y20" s="51"/>
      <c r="Z20" s="51"/>
      <c r="AA20" s="51"/>
      <c r="AB20" s="51"/>
      <c r="AC20" s="51"/>
      <c r="AD20" s="51"/>
      <c r="AE20" s="51"/>
      <c r="AF20" s="51"/>
      <c r="AG20" s="51"/>
      <c r="AH20" s="51"/>
    </row>
    <row r="21" spans="1:34" ht="36.75" customHeight="1" x14ac:dyDescent="0.25">
      <c r="A21" s="261"/>
      <c r="B21" s="79" t="s">
        <v>196</v>
      </c>
      <c r="C21" s="80"/>
      <c r="D21" s="103"/>
      <c r="E21" s="126"/>
      <c r="F21" s="80"/>
      <c r="G21" s="51"/>
      <c r="H21" s="51"/>
      <c r="I21" s="51"/>
      <c r="J21" s="51"/>
      <c r="K21" s="136"/>
      <c r="L21" s="51"/>
      <c r="M21" s="51"/>
      <c r="N21" s="51"/>
      <c r="O21" s="51"/>
      <c r="P21" s="51"/>
      <c r="Q21" s="51"/>
      <c r="R21" s="51"/>
      <c r="S21" s="51"/>
      <c r="T21" s="51"/>
      <c r="U21" s="51"/>
      <c r="V21" s="51"/>
      <c r="W21" s="51"/>
      <c r="X21" s="51"/>
      <c r="Y21" s="51"/>
      <c r="Z21" s="51"/>
      <c r="AA21" s="51"/>
      <c r="AB21" s="51"/>
      <c r="AC21" s="51"/>
      <c r="AD21" s="51"/>
      <c r="AE21" s="51"/>
      <c r="AF21" s="51"/>
      <c r="AG21" s="51"/>
      <c r="AH21" s="51"/>
    </row>
    <row r="22" spans="1:34" ht="33.75" customHeight="1" x14ac:dyDescent="0.25">
      <c r="A22" s="261"/>
      <c r="B22" s="79" t="s">
        <v>197</v>
      </c>
      <c r="C22" s="80"/>
      <c r="D22" s="103"/>
      <c r="E22" s="126"/>
      <c r="F22" s="80"/>
      <c r="G22" s="51"/>
      <c r="H22" s="51"/>
      <c r="I22" s="51"/>
      <c r="J22" s="51"/>
      <c r="K22" s="136"/>
      <c r="L22" s="51"/>
      <c r="M22" s="51"/>
      <c r="N22" s="51"/>
      <c r="O22" s="51"/>
      <c r="P22" s="51"/>
      <c r="Q22" s="51"/>
      <c r="R22" s="51"/>
      <c r="S22" s="51"/>
      <c r="T22" s="51"/>
      <c r="U22" s="51"/>
      <c r="V22" s="51"/>
      <c r="W22" s="51"/>
      <c r="X22" s="51"/>
      <c r="Y22" s="51"/>
      <c r="Z22" s="51"/>
      <c r="AA22" s="51"/>
      <c r="AB22" s="51"/>
      <c r="AC22" s="51"/>
      <c r="AD22" s="51"/>
      <c r="AE22" s="51"/>
      <c r="AF22" s="51"/>
      <c r="AG22" s="51"/>
      <c r="AH22" s="51"/>
    </row>
    <row r="23" spans="1:34" ht="85.5" customHeight="1" x14ac:dyDescent="0.25">
      <c r="A23" s="261"/>
      <c r="B23" s="79" t="s">
        <v>267</v>
      </c>
      <c r="C23" s="80"/>
      <c r="D23" s="103"/>
      <c r="E23" s="126"/>
      <c r="F23" s="80"/>
      <c r="G23" s="51"/>
      <c r="H23" s="51"/>
      <c r="I23" s="51"/>
      <c r="J23" s="51"/>
      <c r="K23" s="136"/>
      <c r="L23" s="51"/>
      <c r="M23" s="51"/>
      <c r="N23" s="51"/>
      <c r="O23" s="51"/>
      <c r="P23" s="51"/>
      <c r="Q23" s="51"/>
      <c r="R23" s="51"/>
      <c r="S23" s="51"/>
      <c r="T23" s="51"/>
      <c r="U23" s="51"/>
      <c r="V23" s="51"/>
      <c r="W23" s="51"/>
      <c r="X23" s="51"/>
      <c r="Y23" s="51"/>
      <c r="Z23" s="51"/>
      <c r="AA23" s="51"/>
      <c r="AB23" s="51"/>
      <c r="AC23" s="51"/>
      <c r="AD23" s="51"/>
      <c r="AE23" s="51"/>
      <c r="AF23" s="51"/>
      <c r="AG23" s="51"/>
      <c r="AH23" s="51"/>
    </row>
    <row r="24" spans="1:34" ht="46.15" customHeight="1" x14ac:dyDescent="0.25">
      <c r="A24" s="121" t="s">
        <v>285</v>
      </c>
      <c r="B24" s="81" t="s">
        <v>283</v>
      </c>
      <c r="C24" s="80"/>
      <c r="D24" s="104"/>
      <c r="E24" s="125"/>
      <c r="F24" s="80"/>
      <c r="G24" s="51"/>
      <c r="H24" s="51"/>
      <c r="I24" s="51"/>
      <c r="J24" s="51"/>
      <c r="K24" s="136"/>
      <c r="L24" s="51"/>
      <c r="M24" s="51"/>
      <c r="N24" s="51"/>
      <c r="O24" s="51"/>
      <c r="P24" s="51"/>
      <c r="Q24" s="51"/>
      <c r="R24" s="51"/>
      <c r="S24" s="51"/>
      <c r="T24" s="51"/>
      <c r="U24" s="51"/>
      <c r="V24" s="51"/>
      <c r="W24" s="51"/>
      <c r="X24" s="51"/>
      <c r="Y24" s="51"/>
      <c r="Z24" s="51"/>
      <c r="AA24" s="51"/>
      <c r="AB24" s="51"/>
      <c r="AC24" s="51"/>
      <c r="AD24" s="51"/>
      <c r="AE24" s="51"/>
      <c r="AF24" s="51"/>
      <c r="AG24" s="51"/>
      <c r="AH24" s="51"/>
    </row>
    <row r="25" spans="1:34" ht="32.25" customHeight="1" x14ac:dyDescent="0.25">
      <c r="A25" s="71" t="s">
        <v>278</v>
      </c>
      <c r="B25" s="79" t="s">
        <v>272</v>
      </c>
      <c r="C25" s="80" t="s">
        <v>17</v>
      </c>
      <c r="D25" s="103">
        <v>2000</v>
      </c>
      <c r="E25" s="96">
        <v>446.72</v>
      </c>
      <c r="F25" s="80">
        <f>D25*E25</f>
        <v>893440</v>
      </c>
      <c r="G25" s="51"/>
      <c r="I25" s="51">
        <f>E25*1.1</f>
        <v>491.39200000000005</v>
      </c>
      <c r="J25" s="51">
        <f>I25*D25</f>
        <v>982784.00000000012</v>
      </c>
      <c r="K25" s="136"/>
      <c r="L25" s="55"/>
      <c r="M25" s="51"/>
      <c r="N25" s="51"/>
      <c r="O25" s="55"/>
      <c r="P25" s="51"/>
      <c r="Q25" s="51"/>
      <c r="R25" s="262"/>
      <c r="S25" s="51"/>
      <c r="T25" s="51"/>
      <c r="U25" s="55"/>
      <c r="V25" s="51"/>
      <c r="W25" s="51"/>
      <c r="X25" s="51"/>
      <c r="Y25" s="51"/>
      <c r="Z25" s="51"/>
      <c r="AA25" s="51"/>
      <c r="AB25" s="51"/>
      <c r="AC25" s="51"/>
      <c r="AD25" s="51"/>
      <c r="AE25" s="51">
        <f>G25*$AE$4</f>
        <v>0</v>
      </c>
      <c r="AF25" s="51">
        <f>G25+AE25</f>
        <v>0</v>
      </c>
      <c r="AH25" s="51">
        <f>ROUND(AF25,-1)</f>
        <v>0</v>
      </c>
    </row>
    <row r="26" spans="1:34" ht="33" customHeight="1" x14ac:dyDescent="0.25">
      <c r="A26" s="94" t="s">
        <v>279</v>
      </c>
      <c r="B26" s="95" t="s">
        <v>271</v>
      </c>
      <c r="C26" s="97" t="s">
        <v>17</v>
      </c>
      <c r="D26" s="105">
        <f>7098+1750</f>
        <v>8848</v>
      </c>
      <c r="E26" s="96">
        <v>460</v>
      </c>
      <c r="F26" s="80">
        <f t="shared" ref="F26:F89" si="0">D26*E26</f>
        <v>4070080</v>
      </c>
      <c r="G26" s="51">
        <v>100</v>
      </c>
      <c r="H26" s="51"/>
      <c r="I26" s="51">
        <f t="shared" ref="I26:I89" si="1">E26*1.1</f>
        <v>506.00000000000006</v>
      </c>
      <c r="J26" s="51">
        <f t="shared" ref="J26:J89" si="2">I26*D26</f>
        <v>4477088.0000000009</v>
      </c>
      <c r="K26" s="136"/>
      <c r="L26" s="55"/>
      <c r="M26" s="51"/>
      <c r="N26" s="51"/>
      <c r="O26" s="55"/>
      <c r="P26" s="51"/>
      <c r="Q26" s="51"/>
      <c r="R26" s="262"/>
      <c r="S26" s="51"/>
      <c r="T26" s="51"/>
      <c r="U26" s="55"/>
      <c r="V26" s="51"/>
      <c r="W26" s="51"/>
      <c r="X26" s="51"/>
      <c r="Y26" s="51"/>
      <c r="Z26" s="51"/>
      <c r="AA26" s="51"/>
      <c r="AB26" s="51"/>
      <c r="AC26" s="51"/>
      <c r="AD26" s="51"/>
      <c r="AE26" s="51"/>
      <c r="AF26" s="51"/>
      <c r="AH26" s="51"/>
    </row>
    <row r="27" spans="1:34" ht="32.25" customHeight="1" x14ac:dyDescent="0.25">
      <c r="A27" s="71" t="s">
        <v>280</v>
      </c>
      <c r="B27" s="79" t="s">
        <v>21</v>
      </c>
      <c r="C27" s="80" t="s">
        <v>17</v>
      </c>
      <c r="D27" s="103">
        <f>4000+4500</f>
        <v>8500</v>
      </c>
      <c r="E27" s="96">
        <v>481.62</v>
      </c>
      <c r="F27" s="80">
        <f t="shared" si="0"/>
        <v>4093770</v>
      </c>
      <c r="G27" s="51">
        <f>D27/50</f>
        <v>170</v>
      </c>
      <c r="H27" s="51"/>
      <c r="I27" s="51">
        <f t="shared" si="1"/>
        <v>529.78200000000004</v>
      </c>
      <c r="J27" s="51">
        <f t="shared" si="2"/>
        <v>4503147</v>
      </c>
      <c r="K27" s="136"/>
      <c r="L27" s="55"/>
      <c r="M27" s="51"/>
      <c r="N27" s="51"/>
      <c r="O27" s="55"/>
      <c r="P27" s="51"/>
      <c r="Q27" s="51"/>
      <c r="R27" s="262"/>
      <c r="S27" s="51"/>
      <c r="T27" s="51"/>
      <c r="U27" s="55"/>
      <c r="V27" s="51"/>
      <c r="W27" s="51"/>
      <c r="X27" s="51"/>
      <c r="Y27" s="51"/>
      <c r="Z27" s="51"/>
      <c r="AA27" s="51"/>
      <c r="AB27" s="51"/>
      <c r="AC27" s="51"/>
      <c r="AD27" s="51"/>
      <c r="AE27" s="51">
        <f>G27*$AE$4</f>
        <v>34</v>
      </c>
      <c r="AF27" s="51">
        <f>G27+AE27</f>
        <v>204</v>
      </c>
      <c r="AH27" s="51">
        <f>ROUND(AF27,-1)</f>
        <v>200</v>
      </c>
    </row>
    <row r="28" spans="1:34" ht="32.25" customHeight="1" x14ac:dyDescent="0.25">
      <c r="A28" s="71" t="s">
        <v>281</v>
      </c>
      <c r="B28" s="79" t="s">
        <v>23</v>
      </c>
      <c r="C28" s="80" t="s">
        <v>17</v>
      </c>
      <c r="D28" s="106">
        <v>3000</v>
      </c>
      <c r="E28" s="96">
        <v>558.4</v>
      </c>
      <c r="F28" s="80">
        <f t="shared" si="0"/>
        <v>1675200</v>
      </c>
      <c r="G28" s="51">
        <f>D28/50</f>
        <v>60</v>
      </c>
      <c r="H28" s="51"/>
      <c r="I28" s="51">
        <f t="shared" si="1"/>
        <v>614.24</v>
      </c>
      <c r="J28" s="51">
        <f t="shared" si="2"/>
        <v>1842720</v>
      </c>
      <c r="K28" s="136"/>
      <c r="L28" s="55"/>
      <c r="M28" s="51"/>
      <c r="N28" s="51"/>
      <c r="O28" s="55"/>
      <c r="P28" s="51"/>
      <c r="Q28" s="51"/>
      <c r="R28" s="262"/>
      <c r="S28" s="51"/>
      <c r="T28" s="51"/>
      <c r="U28" s="51"/>
      <c r="V28" s="51"/>
      <c r="W28" s="51"/>
      <c r="X28" s="51"/>
      <c r="Y28" s="51"/>
      <c r="Z28" s="51"/>
      <c r="AA28" s="51"/>
      <c r="AB28" s="51"/>
      <c r="AC28" s="51"/>
      <c r="AD28" s="51"/>
      <c r="AE28" s="51"/>
      <c r="AF28" s="51">
        <f>G28</f>
        <v>60</v>
      </c>
      <c r="AG28" s="51"/>
      <c r="AH28" s="51">
        <f>ROUND(AF28,-1)</f>
        <v>60</v>
      </c>
    </row>
    <row r="29" spans="1:34" ht="32.25" customHeight="1" x14ac:dyDescent="0.25">
      <c r="A29" s="71" t="s">
        <v>282</v>
      </c>
      <c r="B29" s="79" t="s">
        <v>25</v>
      </c>
      <c r="C29" s="80" t="s">
        <v>17</v>
      </c>
      <c r="D29" s="103">
        <v>2000</v>
      </c>
      <c r="E29" s="96">
        <v>628.20000000000005</v>
      </c>
      <c r="F29" s="80">
        <f t="shared" si="0"/>
        <v>1256400</v>
      </c>
      <c r="G29" s="51">
        <f>D29/50</f>
        <v>40</v>
      </c>
      <c r="H29" s="51"/>
      <c r="I29" s="51">
        <f t="shared" si="1"/>
        <v>691.0200000000001</v>
      </c>
      <c r="J29" s="51">
        <f t="shared" si="2"/>
        <v>1382040.0000000002</v>
      </c>
      <c r="K29" s="136"/>
      <c r="L29" s="55"/>
      <c r="M29" s="51"/>
      <c r="N29" s="51"/>
      <c r="O29" s="55"/>
      <c r="P29" s="51"/>
      <c r="Q29" s="51"/>
      <c r="R29" s="262"/>
      <c r="S29" s="51"/>
      <c r="T29" s="51"/>
      <c r="U29" s="51"/>
      <c r="V29" s="51"/>
      <c r="W29" s="51"/>
      <c r="X29" s="51"/>
      <c r="Y29" s="51"/>
      <c r="Z29" s="51"/>
      <c r="AA29" s="51"/>
      <c r="AB29" s="51"/>
      <c r="AC29" s="51"/>
      <c r="AD29" s="51"/>
      <c r="AE29" s="51"/>
      <c r="AF29" s="51">
        <f>G29</f>
        <v>40</v>
      </c>
      <c r="AG29" s="51"/>
      <c r="AH29" s="51">
        <f>ROUND(AF29,-1)</f>
        <v>40</v>
      </c>
    </row>
    <row r="30" spans="1:34" ht="36" customHeight="1" x14ac:dyDescent="0.25">
      <c r="A30" s="257" t="s">
        <v>294</v>
      </c>
      <c r="B30" s="81" t="s">
        <v>198</v>
      </c>
      <c r="C30" s="80"/>
      <c r="D30" s="104"/>
      <c r="E30" s="96"/>
      <c r="F30" s="80">
        <f t="shared" si="0"/>
        <v>0</v>
      </c>
      <c r="G30" s="51"/>
      <c r="H30" s="51"/>
      <c r="I30" s="51">
        <f t="shared" si="1"/>
        <v>0</v>
      </c>
      <c r="J30" s="51">
        <f t="shared" si="2"/>
        <v>0</v>
      </c>
      <c r="K30" s="138"/>
      <c r="L30" s="56"/>
      <c r="M30" s="56"/>
      <c r="N30" s="56"/>
      <c r="O30" s="56"/>
      <c r="P30" s="56"/>
      <c r="Q30" s="56"/>
      <c r="R30" s="56"/>
      <c r="S30" s="56"/>
      <c r="T30" s="56"/>
      <c r="U30" s="56"/>
      <c r="V30" s="56"/>
      <c r="W30" s="56"/>
      <c r="X30" s="56"/>
      <c r="Y30" s="56"/>
      <c r="Z30" s="56"/>
      <c r="AA30" s="56"/>
      <c r="AB30" s="56"/>
      <c r="AC30" s="56"/>
      <c r="AD30" s="56"/>
      <c r="AE30" s="56"/>
      <c r="AF30" s="56"/>
      <c r="AG30" s="56"/>
      <c r="AH30" s="56"/>
    </row>
    <row r="31" spans="1:34" ht="171" customHeight="1" x14ac:dyDescent="0.25">
      <c r="A31" s="258"/>
      <c r="B31" s="79" t="s">
        <v>268</v>
      </c>
      <c r="C31" s="80"/>
      <c r="D31" s="103"/>
      <c r="E31" s="96"/>
      <c r="F31" s="80">
        <f t="shared" si="0"/>
        <v>0</v>
      </c>
      <c r="G31" s="51"/>
      <c r="H31" s="51"/>
      <c r="I31" s="51">
        <f t="shared" si="1"/>
        <v>0</v>
      </c>
      <c r="J31" s="51">
        <f t="shared" si="2"/>
        <v>0</v>
      </c>
      <c r="K31" s="138"/>
      <c r="L31" s="56"/>
      <c r="M31" s="56"/>
      <c r="N31" s="56"/>
      <c r="O31" s="56"/>
      <c r="P31" s="56"/>
      <c r="Q31" s="56"/>
      <c r="R31" s="56"/>
      <c r="S31" s="56"/>
      <c r="T31" s="56"/>
      <c r="U31" s="56"/>
      <c r="V31" s="56"/>
      <c r="W31" s="56"/>
      <c r="X31" s="56"/>
      <c r="Y31" s="56"/>
      <c r="Z31" s="56"/>
      <c r="AA31" s="56"/>
      <c r="AB31" s="56"/>
      <c r="AC31" s="56"/>
      <c r="AD31" s="56"/>
      <c r="AE31" s="56"/>
      <c r="AF31" s="56"/>
      <c r="AG31" s="56"/>
      <c r="AH31" s="56"/>
    </row>
    <row r="32" spans="1:34" ht="30" customHeight="1" x14ac:dyDescent="0.25">
      <c r="A32" s="71" t="s">
        <v>295</v>
      </c>
      <c r="B32" s="79" t="s">
        <v>273</v>
      </c>
      <c r="C32" s="80" t="s">
        <v>17</v>
      </c>
      <c r="D32" s="103">
        <v>3000</v>
      </c>
      <c r="E32" s="96">
        <v>1858.0760000000002</v>
      </c>
      <c r="F32" s="80">
        <f t="shared" si="0"/>
        <v>5574228.0000000009</v>
      </c>
      <c r="G32" s="51">
        <f>D32/50</f>
        <v>60</v>
      </c>
      <c r="H32" s="51"/>
      <c r="I32" s="51">
        <f t="shared" si="1"/>
        <v>2043.8836000000003</v>
      </c>
      <c r="J32" s="51">
        <f t="shared" si="2"/>
        <v>6131650.8000000007</v>
      </c>
      <c r="K32" s="136">
        <f>E32*1.1</f>
        <v>2043.8836000000003</v>
      </c>
      <c r="L32" s="55"/>
      <c r="M32" s="51"/>
      <c r="N32" s="51"/>
      <c r="O32" s="55"/>
      <c r="P32" s="51"/>
      <c r="Q32" s="51"/>
      <c r="R32" s="51"/>
      <c r="S32" s="51"/>
      <c r="T32" s="51"/>
      <c r="U32" s="55"/>
      <c r="V32" s="51"/>
      <c r="W32" s="51"/>
      <c r="X32" s="51"/>
      <c r="Y32" s="51"/>
      <c r="Z32" s="51"/>
      <c r="AA32" s="51"/>
      <c r="AB32" s="51"/>
      <c r="AC32" s="51"/>
      <c r="AD32" s="51"/>
      <c r="AE32" s="51"/>
      <c r="AF32" s="51" t="e">
        <f>AVERAGE(M32,P32)</f>
        <v>#DIV/0!</v>
      </c>
      <c r="AG32" s="51"/>
      <c r="AH32" s="51" t="e">
        <f t="shared" ref="AH32:AH40" si="3">ROUND(AF32,-1)</f>
        <v>#DIV/0!</v>
      </c>
    </row>
    <row r="33" spans="1:34" ht="30" customHeight="1" x14ac:dyDescent="0.25">
      <c r="A33" s="94" t="s">
        <v>296</v>
      </c>
      <c r="B33" s="95" t="s">
        <v>274</v>
      </c>
      <c r="C33" s="97" t="s">
        <v>17</v>
      </c>
      <c r="D33" s="105">
        <f>8000-1500</f>
        <v>6500</v>
      </c>
      <c r="E33" s="96">
        <v>1870.0000000000002</v>
      </c>
      <c r="F33" s="80">
        <f t="shared" si="0"/>
        <v>12155000.000000002</v>
      </c>
      <c r="G33" s="51">
        <f t="shared" ref="G33:G38" si="4">D33/50</f>
        <v>130</v>
      </c>
      <c r="H33" s="51"/>
      <c r="I33" s="51">
        <f t="shared" si="1"/>
        <v>2057.0000000000005</v>
      </c>
      <c r="J33" s="51">
        <f t="shared" si="2"/>
        <v>13370500.000000004</v>
      </c>
      <c r="K33" s="136">
        <f>E33*1.1</f>
        <v>2057.0000000000005</v>
      </c>
      <c r="L33" s="55"/>
      <c r="M33" s="51"/>
      <c r="N33" s="51"/>
      <c r="O33" s="55"/>
      <c r="P33" s="51"/>
      <c r="Q33" s="51"/>
      <c r="R33" s="51"/>
      <c r="S33" s="51"/>
      <c r="T33" s="51"/>
      <c r="U33" s="55"/>
      <c r="V33" s="51"/>
      <c r="W33" s="51"/>
      <c r="X33" s="51"/>
      <c r="Y33" s="51"/>
      <c r="Z33" s="51"/>
      <c r="AA33" s="51"/>
      <c r="AB33" s="51"/>
      <c r="AC33" s="51"/>
      <c r="AD33" s="51"/>
      <c r="AE33" s="51"/>
      <c r="AF33" s="51"/>
      <c r="AG33" s="51"/>
      <c r="AH33" s="51"/>
    </row>
    <row r="34" spans="1:34" ht="30" customHeight="1" x14ac:dyDescent="0.25">
      <c r="A34" s="71" t="s">
        <v>297</v>
      </c>
      <c r="B34" s="79" t="s">
        <v>199</v>
      </c>
      <c r="C34" s="80" t="s">
        <v>17</v>
      </c>
      <c r="D34" s="103">
        <v>1000</v>
      </c>
      <c r="E34" s="96">
        <v>1904.144</v>
      </c>
      <c r="F34" s="80">
        <f t="shared" si="0"/>
        <v>1904144</v>
      </c>
      <c r="G34" s="51">
        <f t="shared" si="4"/>
        <v>20</v>
      </c>
      <c r="H34" s="51"/>
      <c r="I34" s="51">
        <f t="shared" si="1"/>
        <v>2094.5584000000003</v>
      </c>
      <c r="J34" s="51">
        <f t="shared" si="2"/>
        <v>2094558.4000000004</v>
      </c>
      <c r="K34" s="136">
        <f>E34*1.1</f>
        <v>2094.5584000000003</v>
      </c>
      <c r="L34" s="55"/>
      <c r="M34" s="51"/>
      <c r="N34" s="51"/>
      <c r="O34" s="55"/>
      <c r="P34" s="51"/>
      <c r="Q34" s="51"/>
      <c r="R34" s="51"/>
      <c r="S34" s="51"/>
      <c r="T34" s="51"/>
      <c r="U34" s="55"/>
      <c r="V34" s="51"/>
      <c r="W34" s="56"/>
      <c r="X34" s="56"/>
      <c r="Y34" s="56"/>
      <c r="Z34" s="56"/>
      <c r="AA34" s="56"/>
      <c r="AB34" s="56"/>
      <c r="AC34" s="56"/>
      <c r="AD34" s="56"/>
      <c r="AE34" s="56"/>
      <c r="AF34" s="51" t="e">
        <f>AVERAGE(M34,P34)</f>
        <v>#DIV/0!</v>
      </c>
      <c r="AG34" s="51"/>
      <c r="AH34" s="51" t="e">
        <f t="shared" si="3"/>
        <v>#DIV/0!</v>
      </c>
    </row>
    <row r="35" spans="1:34" ht="30" customHeight="1" x14ac:dyDescent="0.25">
      <c r="A35" s="71"/>
      <c r="B35" s="79"/>
      <c r="C35" s="80"/>
      <c r="D35" s="103"/>
      <c r="E35" s="96"/>
      <c r="F35" s="80">
        <f t="shared" si="0"/>
        <v>0</v>
      </c>
      <c r="G35" s="51"/>
      <c r="H35" s="51"/>
      <c r="I35" s="51">
        <f t="shared" si="1"/>
        <v>0</v>
      </c>
      <c r="J35" s="51">
        <f t="shared" si="2"/>
        <v>0</v>
      </c>
      <c r="K35" s="136"/>
      <c r="L35" s="55"/>
      <c r="M35" s="51"/>
      <c r="N35" s="51"/>
      <c r="O35" s="55"/>
      <c r="P35" s="51"/>
      <c r="Q35" s="51"/>
      <c r="R35" s="51"/>
      <c r="S35" s="51"/>
      <c r="T35" s="51"/>
      <c r="U35" s="55"/>
      <c r="V35" s="51"/>
      <c r="W35" s="56"/>
      <c r="X35" s="56"/>
      <c r="Y35" s="56"/>
      <c r="Z35" s="56"/>
      <c r="AA35" s="56"/>
      <c r="AB35" s="56"/>
      <c r="AC35" s="56"/>
      <c r="AD35" s="56"/>
      <c r="AE35" s="56"/>
      <c r="AF35" s="51"/>
      <c r="AG35" s="51"/>
      <c r="AH35" s="51"/>
    </row>
    <row r="36" spans="1:34" ht="30" customHeight="1" x14ac:dyDescent="0.25">
      <c r="A36" s="71" t="s">
        <v>298</v>
      </c>
      <c r="B36" s="79" t="s">
        <v>275</v>
      </c>
      <c r="C36" s="83" t="s">
        <v>17</v>
      </c>
      <c r="D36" s="103">
        <v>100</v>
      </c>
      <c r="E36" s="96">
        <v>2240.58</v>
      </c>
      <c r="F36" s="80">
        <f t="shared" si="0"/>
        <v>224058</v>
      </c>
      <c r="G36" s="51">
        <f t="shared" si="4"/>
        <v>2</v>
      </c>
      <c r="H36" s="51"/>
      <c r="I36" s="51">
        <f t="shared" si="1"/>
        <v>2464.6379999999999</v>
      </c>
      <c r="J36" s="51">
        <f t="shared" si="2"/>
        <v>246463.8</v>
      </c>
      <c r="K36" s="137"/>
      <c r="L36" s="55"/>
      <c r="M36" s="51"/>
      <c r="N36" s="51"/>
      <c r="O36" s="55"/>
      <c r="P36" s="51"/>
      <c r="Q36" s="51"/>
      <c r="R36" s="56"/>
      <c r="S36" s="51"/>
      <c r="T36" s="51"/>
      <c r="U36" s="55"/>
      <c r="V36" s="51"/>
      <c r="W36" s="56"/>
      <c r="X36" s="56"/>
      <c r="Y36" s="56"/>
      <c r="Z36" s="56"/>
      <c r="AA36" s="56"/>
      <c r="AB36" s="56"/>
      <c r="AC36" s="56"/>
      <c r="AD36" s="56"/>
      <c r="AE36" s="56"/>
      <c r="AF36" s="51" t="e">
        <f>AVERAGE(M36,P36)</f>
        <v>#DIV/0!</v>
      </c>
      <c r="AG36" s="56"/>
      <c r="AH36" s="51" t="e">
        <f t="shared" si="3"/>
        <v>#DIV/0!</v>
      </c>
    </row>
    <row r="37" spans="1:34" ht="30" customHeight="1" x14ac:dyDescent="0.25">
      <c r="A37" s="94" t="s">
        <v>299</v>
      </c>
      <c r="B37" s="95" t="s">
        <v>276</v>
      </c>
      <c r="C37" s="114" t="s">
        <v>17</v>
      </c>
      <c r="D37" s="105">
        <v>100</v>
      </c>
      <c r="E37" s="96">
        <v>2260</v>
      </c>
      <c r="F37" s="80">
        <f t="shared" si="0"/>
        <v>226000</v>
      </c>
      <c r="G37" s="51">
        <f t="shared" si="4"/>
        <v>2</v>
      </c>
      <c r="H37" s="51"/>
      <c r="I37" s="51">
        <f t="shared" si="1"/>
        <v>2486</v>
      </c>
      <c r="J37" s="51">
        <f t="shared" si="2"/>
        <v>248600</v>
      </c>
      <c r="K37" s="137"/>
      <c r="L37" s="55"/>
      <c r="M37" s="51"/>
      <c r="N37" s="51"/>
      <c r="O37" s="55"/>
      <c r="P37" s="51"/>
      <c r="Q37" s="51"/>
      <c r="R37" s="56"/>
      <c r="S37" s="51"/>
      <c r="T37" s="51"/>
      <c r="U37" s="55"/>
      <c r="V37" s="51"/>
      <c r="W37" s="56"/>
      <c r="X37" s="56"/>
      <c r="Y37" s="56"/>
      <c r="Z37" s="56"/>
      <c r="AA37" s="56"/>
      <c r="AB37" s="56"/>
      <c r="AC37" s="56"/>
      <c r="AD37" s="56"/>
      <c r="AE37" s="56"/>
      <c r="AF37" s="51"/>
      <c r="AG37" s="56"/>
      <c r="AH37" s="51"/>
    </row>
    <row r="38" spans="1:34" ht="30" customHeight="1" x14ac:dyDescent="0.25">
      <c r="A38" s="71" t="s">
        <v>300</v>
      </c>
      <c r="B38" s="79" t="s">
        <v>200</v>
      </c>
      <c r="C38" s="80" t="s">
        <v>17</v>
      </c>
      <c r="D38" s="103">
        <v>100</v>
      </c>
      <c r="E38" s="96">
        <v>2282.46</v>
      </c>
      <c r="F38" s="80">
        <f t="shared" si="0"/>
        <v>228246</v>
      </c>
      <c r="G38" s="51">
        <f t="shared" si="4"/>
        <v>2</v>
      </c>
      <c r="H38" s="51"/>
      <c r="I38" s="51">
        <f t="shared" si="1"/>
        <v>2510.7060000000001</v>
      </c>
      <c r="J38" s="51">
        <f t="shared" si="2"/>
        <v>251070.6</v>
      </c>
      <c r="K38" s="137"/>
      <c r="L38" s="55"/>
      <c r="M38" s="51"/>
      <c r="N38" s="51"/>
      <c r="O38" s="55"/>
      <c r="P38" s="51"/>
      <c r="Q38" s="51"/>
      <c r="R38" s="56"/>
      <c r="S38" s="51"/>
      <c r="T38" s="51"/>
      <c r="U38" s="55"/>
      <c r="V38" s="51"/>
      <c r="W38" s="56"/>
      <c r="X38" s="56"/>
      <c r="Y38" s="56"/>
      <c r="Z38" s="56"/>
      <c r="AA38" s="56"/>
      <c r="AB38" s="56"/>
      <c r="AC38" s="56"/>
      <c r="AD38" s="56"/>
      <c r="AE38" s="56"/>
      <c r="AF38" s="51" t="e">
        <f>AVERAGE(M38,P38)</f>
        <v>#DIV/0!</v>
      </c>
      <c r="AG38" s="56"/>
      <c r="AH38" s="51" t="e">
        <f t="shared" si="3"/>
        <v>#DIV/0!</v>
      </c>
    </row>
    <row r="39" spans="1:34" ht="26.25" customHeight="1" x14ac:dyDescent="0.25">
      <c r="A39" s="264" t="s">
        <v>301</v>
      </c>
      <c r="B39" s="81" t="s">
        <v>201</v>
      </c>
      <c r="C39" s="80"/>
      <c r="D39" s="104"/>
      <c r="E39" s="96"/>
      <c r="F39" s="80">
        <f t="shared" si="0"/>
        <v>0</v>
      </c>
      <c r="G39" s="51"/>
      <c r="H39" s="51"/>
      <c r="I39" s="51">
        <f t="shared" si="1"/>
        <v>0</v>
      </c>
      <c r="J39" s="51">
        <f t="shared" si="2"/>
        <v>0</v>
      </c>
      <c r="K39" s="136"/>
      <c r="L39" s="55"/>
      <c r="M39" s="51"/>
      <c r="N39" s="51"/>
      <c r="O39" s="51"/>
      <c r="P39" s="51"/>
      <c r="Q39" s="51"/>
      <c r="R39" s="56"/>
      <c r="S39" s="51"/>
      <c r="T39" s="51"/>
      <c r="U39" s="55"/>
      <c r="V39" s="51"/>
      <c r="W39" s="56"/>
      <c r="X39" s="56"/>
      <c r="Y39" s="56"/>
      <c r="Z39" s="56"/>
      <c r="AA39" s="56"/>
      <c r="AB39" s="56"/>
      <c r="AC39" s="56"/>
      <c r="AD39" s="56"/>
      <c r="AE39" s="56"/>
      <c r="AF39" s="56"/>
      <c r="AG39" s="56"/>
      <c r="AH39" s="51">
        <f t="shared" si="3"/>
        <v>0</v>
      </c>
    </row>
    <row r="40" spans="1:34" ht="66" customHeight="1" x14ac:dyDescent="0.25">
      <c r="A40" s="265"/>
      <c r="B40" s="79" t="s">
        <v>202</v>
      </c>
      <c r="C40" s="80"/>
      <c r="D40" s="103"/>
      <c r="E40" s="96"/>
      <c r="F40" s="80">
        <f t="shared" si="0"/>
        <v>0</v>
      </c>
      <c r="G40" s="51"/>
      <c r="H40" s="51">
        <f>D27+D28+D29+D32+D33+D34</f>
        <v>24000</v>
      </c>
      <c r="I40" s="51">
        <f t="shared" si="1"/>
        <v>0</v>
      </c>
      <c r="J40" s="51">
        <f t="shared" si="2"/>
        <v>0</v>
      </c>
      <c r="K40" s="136"/>
      <c r="L40" s="55"/>
      <c r="M40" s="51"/>
      <c r="N40" s="51"/>
      <c r="O40" s="51"/>
      <c r="P40" s="51"/>
      <c r="Q40" s="51"/>
      <c r="R40" s="56"/>
      <c r="S40" s="51"/>
      <c r="T40" s="51"/>
      <c r="U40" s="55"/>
      <c r="V40" s="51"/>
      <c r="W40" s="56"/>
      <c r="X40" s="56"/>
      <c r="Y40" s="56"/>
      <c r="Z40" s="56"/>
      <c r="AA40" s="56"/>
      <c r="AB40" s="56"/>
      <c r="AC40" s="56"/>
      <c r="AD40" s="56"/>
      <c r="AE40" s="56"/>
      <c r="AF40" s="56"/>
      <c r="AG40" s="56"/>
      <c r="AH40" s="51">
        <f t="shared" si="3"/>
        <v>0</v>
      </c>
    </row>
    <row r="41" spans="1:34" ht="29.1" customHeight="1" x14ac:dyDescent="0.25">
      <c r="A41" s="71" t="s">
        <v>302</v>
      </c>
      <c r="B41" s="79" t="s">
        <v>203</v>
      </c>
      <c r="C41" s="80" t="s">
        <v>204</v>
      </c>
      <c r="D41" s="103">
        <v>500</v>
      </c>
      <c r="E41" s="96">
        <v>1200</v>
      </c>
      <c r="F41" s="80">
        <f t="shared" si="0"/>
        <v>600000</v>
      </c>
      <c r="G41" s="51"/>
      <c r="H41" s="51"/>
      <c r="I41" s="51">
        <f t="shared" si="1"/>
        <v>1320</v>
      </c>
      <c r="J41" s="51">
        <f t="shared" si="2"/>
        <v>660000</v>
      </c>
      <c r="K41" s="136">
        <v>1200</v>
      </c>
      <c r="L41" s="55"/>
      <c r="M41" s="51"/>
      <c r="N41" s="51"/>
      <c r="O41" s="51"/>
      <c r="P41" s="51"/>
      <c r="Q41" s="51"/>
      <c r="R41" s="51"/>
      <c r="S41" s="51"/>
      <c r="T41" s="51"/>
      <c r="U41" s="55"/>
      <c r="V41" s="51"/>
      <c r="W41" s="56"/>
      <c r="X41" s="56"/>
      <c r="Y41" s="56"/>
      <c r="Z41" s="56"/>
      <c r="AA41" s="56"/>
      <c r="AB41" s="56"/>
      <c r="AC41" s="56"/>
      <c r="AD41" s="56"/>
      <c r="AE41" s="56"/>
      <c r="AF41" s="56" t="e">
        <f>AVERAGE(M41,G41)</f>
        <v>#DIV/0!</v>
      </c>
      <c r="AH41" s="51" t="e">
        <f>ROUND(AF41,2)</f>
        <v>#DIV/0!</v>
      </c>
    </row>
    <row r="42" spans="1:34" ht="28.5" customHeight="1" x14ac:dyDescent="0.25">
      <c r="A42" s="264" t="s">
        <v>303</v>
      </c>
      <c r="B42" s="81" t="s">
        <v>205</v>
      </c>
      <c r="C42" s="80"/>
      <c r="D42" s="104"/>
      <c r="E42" s="96"/>
      <c r="F42" s="80">
        <f t="shared" si="0"/>
        <v>0</v>
      </c>
      <c r="G42" s="51"/>
      <c r="H42" s="51"/>
      <c r="I42" s="51">
        <f t="shared" si="1"/>
        <v>0</v>
      </c>
      <c r="J42" s="51">
        <f t="shared" si="2"/>
        <v>0</v>
      </c>
      <c r="K42" s="136"/>
      <c r="L42" s="55"/>
      <c r="M42" s="51"/>
      <c r="N42" s="51"/>
      <c r="O42" s="51"/>
      <c r="P42" s="51"/>
      <c r="Q42" s="51"/>
      <c r="R42" s="56"/>
      <c r="S42" s="51"/>
      <c r="T42" s="51"/>
      <c r="U42" s="55"/>
      <c r="V42" s="51"/>
      <c r="W42" s="56"/>
      <c r="X42" s="56"/>
      <c r="Y42" s="56"/>
      <c r="Z42" s="56"/>
      <c r="AA42" s="56"/>
      <c r="AB42" s="56"/>
      <c r="AC42" s="56"/>
      <c r="AD42" s="56"/>
      <c r="AE42" s="56"/>
      <c r="AF42" s="56"/>
      <c r="AG42" s="56"/>
      <c r="AH42" s="51">
        <f>ROUNDUP(AF42,-1)</f>
        <v>0</v>
      </c>
    </row>
    <row r="43" spans="1:34" ht="108" customHeight="1" x14ac:dyDescent="0.25">
      <c r="A43" s="265"/>
      <c r="B43" s="79" t="s">
        <v>206</v>
      </c>
      <c r="C43" s="80"/>
      <c r="D43" s="103"/>
      <c r="E43" s="96"/>
      <c r="F43" s="80">
        <f t="shared" si="0"/>
        <v>0</v>
      </c>
      <c r="G43" s="51"/>
      <c r="H43" s="51"/>
      <c r="I43" s="51">
        <f t="shared" si="1"/>
        <v>0</v>
      </c>
      <c r="J43" s="51">
        <f t="shared" si="2"/>
        <v>0</v>
      </c>
      <c r="K43" s="136"/>
      <c r="L43" s="55"/>
      <c r="M43" s="51"/>
      <c r="N43" s="51"/>
      <c r="O43" s="51"/>
      <c r="P43" s="51"/>
      <c r="Q43" s="51"/>
      <c r="R43" s="56"/>
      <c r="S43" s="51"/>
      <c r="T43" s="51"/>
      <c r="U43" s="55"/>
      <c r="V43" s="51"/>
      <c r="W43" s="56"/>
      <c r="X43" s="56"/>
      <c r="Y43" s="56"/>
      <c r="Z43" s="56"/>
      <c r="AA43" s="56"/>
      <c r="AB43" s="56"/>
      <c r="AC43" s="56"/>
      <c r="AD43" s="56"/>
      <c r="AE43" s="56"/>
      <c r="AF43" s="56"/>
      <c r="AG43" s="56"/>
      <c r="AH43" s="51">
        <f>ROUND(AF43,-1)</f>
        <v>0</v>
      </c>
    </row>
    <row r="44" spans="1:34" ht="39" customHeight="1" x14ac:dyDescent="0.25">
      <c r="A44" s="71" t="s">
        <v>304</v>
      </c>
      <c r="B44" s="79" t="s">
        <v>207</v>
      </c>
      <c r="C44" s="80" t="s">
        <v>47</v>
      </c>
      <c r="D44" s="103">
        <v>480</v>
      </c>
      <c r="E44" s="136">
        <v>849</v>
      </c>
      <c r="F44" s="80">
        <f t="shared" si="0"/>
        <v>407520</v>
      </c>
      <c r="G44" s="51"/>
      <c r="H44" s="51">
        <f>H40/150</f>
        <v>160</v>
      </c>
      <c r="I44" s="51">
        <f t="shared" si="1"/>
        <v>933.90000000000009</v>
      </c>
      <c r="J44" s="51">
        <f t="shared" si="2"/>
        <v>448272.00000000006</v>
      </c>
      <c r="K44" s="136">
        <v>849</v>
      </c>
      <c r="L44" s="270" t="s">
        <v>363</v>
      </c>
      <c r="M44" s="51"/>
      <c r="N44" s="51"/>
      <c r="O44" s="51"/>
      <c r="P44" s="51"/>
      <c r="Q44" s="51"/>
      <c r="R44" s="56"/>
      <c r="S44" s="51"/>
      <c r="T44" s="51"/>
      <c r="U44" s="55"/>
      <c r="V44" s="51"/>
      <c r="W44" s="56"/>
      <c r="X44" s="56"/>
      <c r="Y44" s="56"/>
      <c r="Z44" s="56"/>
      <c r="AA44" s="56"/>
      <c r="AB44" s="56"/>
      <c r="AC44" s="56"/>
      <c r="AD44" s="56"/>
      <c r="AE44" s="56"/>
      <c r="AF44" s="56">
        <f>M44</f>
        <v>0</v>
      </c>
      <c r="AG44" s="56"/>
      <c r="AH44" s="51">
        <f>ROUND(AF44,-1)</f>
        <v>0</v>
      </c>
    </row>
    <row r="45" spans="1:34" ht="41.1" customHeight="1" x14ac:dyDescent="0.25">
      <c r="A45" s="71" t="s">
        <v>305</v>
      </c>
      <c r="B45" s="79" t="s">
        <v>208</v>
      </c>
      <c r="C45" s="80" t="s">
        <v>47</v>
      </c>
      <c r="D45" s="103">
        <v>160</v>
      </c>
      <c r="E45" s="136">
        <v>3183</v>
      </c>
      <c r="F45" s="80">
        <f t="shared" si="0"/>
        <v>509280</v>
      </c>
      <c r="G45" s="51"/>
      <c r="H45" s="51"/>
      <c r="I45" s="51">
        <f t="shared" si="1"/>
        <v>3501.3</v>
      </c>
      <c r="J45" s="51">
        <f t="shared" si="2"/>
        <v>560208</v>
      </c>
      <c r="K45" s="136">
        <v>3183</v>
      </c>
      <c r="L45" s="270"/>
      <c r="M45" s="51"/>
      <c r="N45" s="51"/>
      <c r="O45" s="51"/>
      <c r="P45" s="51"/>
      <c r="Q45" s="51"/>
      <c r="R45" s="56"/>
      <c r="S45" s="51"/>
      <c r="T45" s="51"/>
      <c r="U45" s="55"/>
      <c r="V45" s="51"/>
      <c r="W45" s="56"/>
      <c r="X45" s="56"/>
      <c r="Y45" s="56"/>
      <c r="Z45" s="56"/>
      <c r="AA45" s="56"/>
      <c r="AB45" s="56"/>
      <c r="AC45" s="56"/>
      <c r="AD45" s="56"/>
      <c r="AE45" s="56"/>
      <c r="AF45" s="51" t="e">
        <f>AVERAGE(M45,G45)</f>
        <v>#DIV/0!</v>
      </c>
      <c r="AG45" s="56"/>
      <c r="AH45" s="51" t="e">
        <f>ROUND(AF45,-2)</f>
        <v>#DIV/0!</v>
      </c>
    </row>
    <row r="46" spans="1:34" ht="36.950000000000003" customHeight="1" x14ac:dyDescent="0.25">
      <c r="A46" s="71" t="s">
        <v>306</v>
      </c>
      <c r="B46" s="79" t="s">
        <v>209</v>
      </c>
      <c r="C46" s="80" t="s">
        <v>47</v>
      </c>
      <c r="D46" s="103">
        <v>500</v>
      </c>
      <c r="E46" s="136">
        <v>582</v>
      </c>
      <c r="F46" s="80">
        <f t="shared" si="0"/>
        <v>291000</v>
      </c>
      <c r="G46" s="51"/>
      <c r="H46" s="51"/>
      <c r="I46" s="51">
        <f t="shared" si="1"/>
        <v>640.20000000000005</v>
      </c>
      <c r="J46" s="51">
        <f t="shared" si="2"/>
        <v>320100</v>
      </c>
      <c r="K46" s="136">
        <v>582</v>
      </c>
      <c r="L46" s="270"/>
      <c r="M46" s="51"/>
      <c r="N46" s="51"/>
      <c r="O46" s="51"/>
      <c r="P46" s="51"/>
      <c r="Q46" s="51"/>
      <c r="R46" s="56"/>
      <c r="S46" s="51"/>
      <c r="T46" s="51"/>
      <c r="U46" s="55"/>
      <c r="V46" s="51"/>
      <c r="W46" s="56"/>
      <c r="X46" s="56"/>
      <c r="Y46" s="56"/>
      <c r="Z46" s="56"/>
      <c r="AA46" s="56"/>
      <c r="AB46" s="56"/>
      <c r="AC46" s="56"/>
      <c r="AD46" s="56"/>
      <c r="AE46" s="56"/>
      <c r="AF46" s="51" t="e">
        <f>AVERAGE(M46,G46)</f>
        <v>#DIV/0!</v>
      </c>
      <c r="AG46" s="56"/>
      <c r="AH46" s="51" t="e">
        <f t="shared" ref="AH46:AH53" si="5">ROUND(AF46,-1)</f>
        <v>#DIV/0!</v>
      </c>
    </row>
    <row r="47" spans="1:34" s="52" customFormat="1" ht="36.75" customHeight="1" x14ac:dyDescent="0.25">
      <c r="A47" s="259" t="s">
        <v>210</v>
      </c>
      <c r="B47" s="260"/>
      <c r="C47" s="78"/>
      <c r="D47" s="104"/>
      <c r="E47" s="125"/>
      <c r="F47" s="80">
        <f t="shared" si="0"/>
        <v>0</v>
      </c>
      <c r="G47" s="51"/>
      <c r="H47" s="51"/>
      <c r="I47" s="51">
        <f t="shared" si="1"/>
        <v>0</v>
      </c>
      <c r="J47" s="51">
        <f t="shared" si="2"/>
        <v>0</v>
      </c>
      <c r="K47" s="136"/>
      <c r="L47" s="55"/>
      <c r="M47" s="51"/>
      <c r="N47" s="51"/>
      <c r="O47" s="51"/>
      <c r="P47" s="51"/>
      <c r="Q47" s="51"/>
      <c r="R47" s="56"/>
      <c r="S47" s="51"/>
      <c r="T47" s="51"/>
      <c r="U47" s="55"/>
      <c r="V47" s="51"/>
      <c r="W47" s="56"/>
      <c r="X47" s="56"/>
      <c r="Y47" s="56"/>
      <c r="Z47" s="56"/>
      <c r="AA47" s="56"/>
      <c r="AB47" s="56"/>
      <c r="AC47" s="56"/>
      <c r="AD47" s="56"/>
      <c r="AE47" s="56"/>
      <c r="AF47" s="56"/>
      <c r="AG47" s="56"/>
      <c r="AH47" s="51">
        <f t="shared" si="5"/>
        <v>0</v>
      </c>
    </row>
    <row r="48" spans="1:34" ht="36.75" customHeight="1" x14ac:dyDescent="0.25">
      <c r="A48" s="264" t="s">
        <v>135</v>
      </c>
      <c r="B48" s="81" t="s">
        <v>211</v>
      </c>
      <c r="C48" s="80"/>
      <c r="D48" s="104"/>
      <c r="E48" s="96"/>
      <c r="F48" s="80">
        <f t="shared" si="0"/>
        <v>0</v>
      </c>
      <c r="G48" s="51"/>
      <c r="H48" s="51"/>
      <c r="I48" s="51">
        <f t="shared" si="1"/>
        <v>0</v>
      </c>
      <c r="J48" s="51">
        <f t="shared" si="2"/>
        <v>0</v>
      </c>
      <c r="K48" s="136"/>
      <c r="L48" s="55"/>
      <c r="M48" s="51"/>
      <c r="N48" s="51"/>
      <c r="O48" s="51"/>
      <c r="P48" s="51"/>
      <c r="Q48" s="51"/>
      <c r="R48" s="56"/>
      <c r="S48" s="51"/>
      <c r="T48" s="51"/>
      <c r="U48" s="55"/>
      <c r="V48" s="51"/>
      <c r="W48" s="56"/>
      <c r="X48" s="56"/>
      <c r="Y48" s="56"/>
      <c r="Z48" s="56"/>
      <c r="AA48" s="56"/>
      <c r="AB48" s="56"/>
      <c r="AC48" s="56"/>
      <c r="AD48" s="56"/>
      <c r="AE48" s="56"/>
      <c r="AF48" s="56"/>
      <c r="AG48" s="56"/>
      <c r="AH48" s="51">
        <f t="shared" si="5"/>
        <v>0</v>
      </c>
    </row>
    <row r="49" spans="1:34" ht="183" customHeight="1" x14ac:dyDescent="0.25">
      <c r="A49" s="267"/>
      <c r="B49" s="79" t="s">
        <v>212</v>
      </c>
      <c r="C49" s="80"/>
      <c r="D49" s="103"/>
      <c r="E49" s="96"/>
      <c r="F49" s="80">
        <f t="shared" si="0"/>
        <v>0</v>
      </c>
      <c r="G49" s="51"/>
      <c r="H49" s="51"/>
      <c r="I49" s="51">
        <f t="shared" si="1"/>
        <v>0</v>
      </c>
      <c r="J49" s="51">
        <f t="shared" si="2"/>
        <v>0</v>
      </c>
      <c r="K49" s="136"/>
      <c r="L49" s="55"/>
      <c r="M49" s="51"/>
      <c r="N49" s="51"/>
      <c r="O49" s="51"/>
      <c r="P49" s="51"/>
      <c r="Q49" s="51"/>
      <c r="R49" s="56"/>
      <c r="S49" s="51"/>
      <c r="T49" s="51"/>
      <c r="U49" s="55"/>
      <c r="V49" s="51"/>
      <c r="W49" s="56"/>
      <c r="X49" s="56"/>
      <c r="Y49" s="56"/>
      <c r="Z49" s="56"/>
      <c r="AA49" s="56"/>
      <c r="AB49" s="56"/>
      <c r="AC49" s="56"/>
      <c r="AD49" s="56"/>
      <c r="AE49" s="56"/>
      <c r="AF49" s="56"/>
      <c r="AG49" s="56"/>
      <c r="AH49" s="51">
        <f t="shared" si="5"/>
        <v>0</v>
      </c>
    </row>
    <row r="50" spans="1:34" ht="92.25" customHeight="1" x14ac:dyDescent="0.25">
      <c r="A50" s="267"/>
      <c r="B50" s="79" t="s">
        <v>213</v>
      </c>
      <c r="C50" s="80"/>
      <c r="D50" s="103"/>
      <c r="E50" s="96"/>
      <c r="F50" s="80">
        <f t="shared" si="0"/>
        <v>0</v>
      </c>
      <c r="G50" s="51"/>
      <c r="H50" s="51"/>
      <c r="I50" s="51">
        <f t="shared" si="1"/>
        <v>0</v>
      </c>
      <c r="J50" s="51">
        <f t="shared" si="2"/>
        <v>0</v>
      </c>
      <c r="K50" s="136"/>
      <c r="L50" s="55"/>
      <c r="M50" s="51"/>
      <c r="N50" s="51"/>
      <c r="O50" s="51"/>
      <c r="P50" s="51"/>
      <c r="Q50" s="51"/>
      <c r="R50" s="56"/>
      <c r="S50" s="51"/>
      <c r="T50" s="51"/>
      <c r="U50" s="55"/>
      <c r="V50" s="51"/>
      <c r="W50" s="56"/>
      <c r="X50" s="56"/>
      <c r="Y50" s="56"/>
      <c r="Z50" s="56"/>
      <c r="AA50" s="56"/>
      <c r="AB50" s="56"/>
      <c r="AC50" s="56"/>
      <c r="AD50" s="56"/>
      <c r="AE50" s="56"/>
      <c r="AF50" s="56"/>
      <c r="AG50" s="56"/>
      <c r="AH50" s="51">
        <f t="shared" si="5"/>
        <v>0</v>
      </c>
    </row>
    <row r="51" spans="1:34" ht="73.5" customHeight="1" x14ac:dyDescent="0.25">
      <c r="A51" s="267"/>
      <c r="B51" s="79" t="s">
        <v>214</v>
      </c>
      <c r="C51" s="80"/>
      <c r="D51" s="103"/>
      <c r="E51" s="96"/>
      <c r="F51" s="80">
        <f t="shared" si="0"/>
        <v>0</v>
      </c>
      <c r="G51" s="51"/>
      <c r="H51" s="51"/>
      <c r="I51" s="51">
        <f t="shared" si="1"/>
        <v>0</v>
      </c>
      <c r="J51" s="51">
        <f t="shared" si="2"/>
        <v>0</v>
      </c>
      <c r="K51" s="136"/>
      <c r="L51" s="55"/>
      <c r="M51" s="51"/>
      <c r="N51" s="51"/>
      <c r="O51" s="51"/>
      <c r="P51" s="51"/>
      <c r="Q51" s="51"/>
      <c r="R51" s="56"/>
      <c r="S51" s="51"/>
      <c r="T51" s="51"/>
      <c r="U51" s="55"/>
      <c r="V51" s="51"/>
      <c r="W51" s="56"/>
      <c r="X51" s="56"/>
      <c r="Y51" s="56"/>
      <c r="Z51" s="56"/>
      <c r="AA51" s="56"/>
      <c r="AB51" s="56"/>
      <c r="AC51" s="56"/>
      <c r="AD51" s="56"/>
      <c r="AE51" s="56"/>
      <c r="AF51" s="56"/>
      <c r="AG51" s="56"/>
      <c r="AH51" s="51">
        <f t="shared" si="5"/>
        <v>0</v>
      </c>
    </row>
    <row r="52" spans="1:34" ht="141" customHeight="1" x14ac:dyDescent="0.25">
      <c r="A52" s="265"/>
      <c r="B52" s="79" t="s">
        <v>269</v>
      </c>
      <c r="C52" s="80"/>
      <c r="D52" s="103"/>
      <c r="E52" s="96"/>
      <c r="F52" s="80">
        <f t="shared" si="0"/>
        <v>0</v>
      </c>
      <c r="G52" s="51"/>
      <c r="H52" s="51"/>
      <c r="I52" s="51">
        <f t="shared" si="1"/>
        <v>0</v>
      </c>
      <c r="J52" s="51">
        <f t="shared" si="2"/>
        <v>0</v>
      </c>
      <c r="K52" s="136"/>
      <c r="L52" s="55"/>
      <c r="M52" s="51"/>
      <c r="N52" s="51"/>
      <c r="O52" s="51"/>
      <c r="P52" s="51"/>
      <c r="Q52" s="51"/>
      <c r="R52" s="56"/>
      <c r="S52" s="51"/>
      <c r="T52" s="51"/>
      <c r="U52" s="55"/>
      <c r="V52" s="51"/>
      <c r="W52" s="56"/>
      <c r="X52" s="51" t="s">
        <v>215</v>
      </c>
      <c r="Y52" s="51" t="s">
        <v>216</v>
      </c>
      <c r="Z52" s="51" t="s">
        <v>217</v>
      </c>
      <c r="AA52" s="51" t="s">
        <v>218</v>
      </c>
      <c r="AB52" s="51" t="s">
        <v>219</v>
      </c>
      <c r="AC52" s="51" t="s">
        <v>220</v>
      </c>
      <c r="AD52" s="51"/>
      <c r="AE52" s="51" t="s">
        <v>221</v>
      </c>
      <c r="AF52" s="56" t="s">
        <v>222</v>
      </c>
      <c r="AG52" s="56" t="s">
        <v>223</v>
      </c>
      <c r="AH52" s="51" t="e">
        <f t="shared" si="5"/>
        <v>#VALUE!</v>
      </c>
    </row>
    <row r="53" spans="1:34" ht="24.75" customHeight="1" x14ac:dyDescent="0.25">
      <c r="A53" s="84" t="s">
        <v>284</v>
      </c>
      <c r="B53" s="81" t="s">
        <v>347</v>
      </c>
      <c r="C53" s="80"/>
      <c r="D53" s="104"/>
      <c r="E53" s="96"/>
      <c r="F53" s="80">
        <f t="shared" si="0"/>
        <v>0</v>
      </c>
      <c r="G53" s="51"/>
      <c r="H53" s="51"/>
      <c r="I53" s="51">
        <f t="shared" si="1"/>
        <v>0</v>
      </c>
      <c r="J53" s="51">
        <f t="shared" si="2"/>
        <v>0</v>
      </c>
      <c r="K53" s="136"/>
      <c r="L53" s="55"/>
      <c r="M53" s="51"/>
      <c r="N53" s="51"/>
      <c r="O53" s="51"/>
      <c r="P53" s="51"/>
      <c r="Q53" s="51"/>
      <c r="R53" s="56"/>
      <c r="S53" s="51"/>
      <c r="T53" s="51"/>
      <c r="U53" s="55"/>
      <c r="V53" s="51"/>
      <c r="W53" s="56"/>
      <c r="X53" s="51" t="s">
        <v>224</v>
      </c>
      <c r="Y53" s="57">
        <v>0.4</v>
      </c>
      <c r="Z53" s="57">
        <v>0.3</v>
      </c>
      <c r="AA53" s="57"/>
      <c r="AB53" s="57">
        <v>0.05</v>
      </c>
      <c r="AC53" s="57">
        <v>0.1</v>
      </c>
      <c r="AD53" s="57"/>
      <c r="AE53" s="51" t="s">
        <v>225</v>
      </c>
      <c r="AF53" s="56"/>
      <c r="AG53" s="56"/>
      <c r="AH53" s="51">
        <f t="shared" si="5"/>
        <v>0</v>
      </c>
    </row>
    <row r="54" spans="1:34" ht="41.45" customHeight="1" x14ac:dyDescent="0.25">
      <c r="A54" s="84" t="s">
        <v>286</v>
      </c>
      <c r="B54" s="133" t="s">
        <v>364</v>
      </c>
      <c r="C54" s="80" t="s">
        <v>17</v>
      </c>
      <c r="D54" s="103">
        <f>8000</f>
        <v>8000</v>
      </c>
      <c r="E54" s="96">
        <v>537.46</v>
      </c>
      <c r="F54" s="80">
        <f t="shared" si="0"/>
        <v>4299680</v>
      </c>
      <c r="G54" s="263">
        <v>15000</v>
      </c>
      <c r="H54" s="51"/>
      <c r="I54" s="51">
        <f t="shared" si="1"/>
        <v>591.20600000000013</v>
      </c>
      <c r="J54" s="51">
        <f t="shared" si="2"/>
        <v>4729648.0000000009</v>
      </c>
      <c r="K54" s="136"/>
      <c r="L54" s="55"/>
      <c r="M54" s="51"/>
      <c r="N54" s="51"/>
      <c r="O54" s="51"/>
      <c r="P54" s="51"/>
      <c r="Q54" s="51"/>
      <c r="R54" s="56"/>
      <c r="S54" s="51"/>
      <c r="T54" s="51"/>
      <c r="U54" s="55"/>
      <c r="V54" s="51"/>
      <c r="W54" s="56"/>
      <c r="X54" s="51">
        <v>264</v>
      </c>
      <c r="Y54" s="51">
        <f>X54/(1+$Y$53)</f>
        <v>188.57142857142858</v>
      </c>
      <c r="Z54" s="51"/>
      <c r="AA54" s="51">
        <f>SUM(Y54:Z54)</f>
        <v>188.57142857142858</v>
      </c>
      <c r="AB54" s="51">
        <f>AA54*$AB$53</f>
        <v>9.4285714285714288</v>
      </c>
      <c r="AC54" s="51">
        <f>AA54*$AC$53</f>
        <v>18.857142857142858</v>
      </c>
      <c r="AD54" s="51">
        <f>SUM(AA54:AC54)</f>
        <v>216.85714285714286</v>
      </c>
      <c r="AE54" s="51">
        <v>1.5</v>
      </c>
      <c r="AF54" s="56">
        <f>AD54*AE54+G54</f>
        <v>15325.285714285714</v>
      </c>
      <c r="AG54" s="56">
        <f>G54</f>
        <v>15000</v>
      </c>
      <c r="AH54" s="51">
        <f>ROUND(SUM(AF54:AG54),-1)</f>
        <v>30330</v>
      </c>
    </row>
    <row r="55" spans="1:34" ht="37.5" customHeight="1" x14ac:dyDescent="0.25">
      <c r="A55" s="84" t="s">
        <v>287</v>
      </c>
      <c r="B55" s="133" t="s">
        <v>365</v>
      </c>
      <c r="C55" s="80" t="s">
        <v>17</v>
      </c>
      <c r="D55" s="107">
        <v>7000</v>
      </c>
      <c r="E55" s="96">
        <v>698</v>
      </c>
      <c r="F55" s="80">
        <f t="shared" si="0"/>
        <v>4886000</v>
      </c>
      <c r="G55" s="263"/>
      <c r="H55" s="51"/>
      <c r="I55" s="51">
        <f t="shared" si="1"/>
        <v>767.80000000000007</v>
      </c>
      <c r="J55" s="51">
        <f t="shared" si="2"/>
        <v>5374600.0000000009</v>
      </c>
      <c r="K55" s="136"/>
      <c r="L55" s="55"/>
      <c r="M55" s="51"/>
      <c r="N55" s="51"/>
      <c r="O55" s="51"/>
      <c r="P55" s="51"/>
      <c r="Q55" s="51"/>
      <c r="R55" s="56"/>
      <c r="S55" s="51"/>
      <c r="T55" s="51"/>
      <c r="U55" s="55"/>
      <c r="V55" s="51"/>
      <c r="W55" s="56"/>
      <c r="X55" s="51">
        <v>332</v>
      </c>
      <c r="Y55" s="51">
        <f>X55/(1+$Y$53)</f>
        <v>237.14285714285717</v>
      </c>
      <c r="Z55" s="51"/>
      <c r="AA55" s="51">
        <f>SUM(Y55:Z55)</f>
        <v>237.14285714285717</v>
      </c>
      <c r="AB55" s="51">
        <f>AA55*$AB$53</f>
        <v>11.857142857142859</v>
      </c>
      <c r="AC55" s="51">
        <f>AA55*$AC$53</f>
        <v>23.714285714285719</v>
      </c>
      <c r="AD55" s="51">
        <f>SUM(AA55:AC55)</f>
        <v>272.71428571428572</v>
      </c>
      <c r="AE55" s="51">
        <v>1.5</v>
      </c>
      <c r="AF55" s="56">
        <f>AD55*AE55+G55</f>
        <v>409.07142857142856</v>
      </c>
      <c r="AG55" s="56">
        <f>G55</f>
        <v>0</v>
      </c>
      <c r="AH55" s="51">
        <f>ROUND(SUM(AF55:AG55),-1)</f>
        <v>410</v>
      </c>
    </row>
    <row r="56" spans="1:34" ht="30" customHeight="1" x14ac:dyDescent="0.25">
      <c r="A56" s="84" t="s">
        <v>288</v>
      </c>
      <c r="B56" s="133" t="s">
        <v>366</v>
      </c>
      <c r="C56" s="80" t="s">
        <v>17</v>
      </c>
      <c r="D56" s="103">
        <f>2000+500</f>
        <v>2500</v>
      </c>
      <c r="E56" s="96">
        <v>837.6</v>
      </c>
      <c r="F56" s="80">
        <f t="shared" si="0"/>
        <v>2094000</v>
      </c>
      <c r="G56" s="263"/>
      <c r="H56" s="51"/>
      <c r="I56" s="51">
        <f t="shared" si="1"/>
        <v>921.36000000000013</v>
      </c>
      <c r="J56" s="51">
        <f t="shared" si="2"/>
        <v>2303400.0000000005</v>
      </c>
      <c r="K56" s="136"/>
      <c r="L56" s="55"/>
      <c r="M56" s="51"/>
      <c r="N56" s="51"/>
      <c r="O56" s="51"/>
      <c r="P56" s="51"/>
      <c r="Q56" s="51"/>
      <c r="R56" s="56"/>
      <c r="S56" s="51"/>
      <c r="T56" s="51"/>
      <c r="U56" s="55"/>
      <c r="V56" s="51"/>
      <c r="W56" s="56"/>
      <c r="X56" s="51">
        <v>499</v>
      </c>
      <c r="Y56" s="51">
        <f>X56/(1+$Y$53)</f>
        <v>356.42857142857144</v>
      </c>
      <c r="Z56" s="51"/>
      <c r="AA56" s="51">
        <f>SUM(Y56:Z56)</f>
        <v>356.42857142857144</v>
      </c>
      <c r="AB56" s="51">
        <f>AA56*$AB$53</f>
        <v>17.821428571428573</v>
      </c>
      <c r="AC56" s="51">
        <f>AA56*$AC$53</f>
        <v>35.642857142857146</v>
      </c>
      <c r="AD56" s="51">
        <f>SUM(AA56:AC56)</f>
        <v>409.89285714285717</v>
      </c>
      <c r="AE56" s="51">
        <v>1.5</v>
      </c>
      <c r="AF56" s="56">
        <f>AD56*AE56+G56</f>
        <v>614.83928571428578</v>
      </c>
      <c r="AG56" s="56">
        <f>G56</f>
        <v>0</v>
      </c>
      <c r="AH56" s="51">
        <f>ROUND(SUM(AF56:AG56),-1)</f>
        <v>610</v>
      </c>
    </row>
    <row r="57" spans="1:34" s="52" customFormat="1" ht="34.5" customHeight="1" x14ac:dyDescent="0.25">
      <c r="A57" s="84" t="s">
        <v>307</v>
      </c>
      <c r="B57" s="81" t="s">
        <v>348</v>
      </c>
      <c r="C57" s="78"/>
      <c r="D57" s="104"/>
      <c r="E57" s="125"/>
      <c r="F57" s="80">
        <f t="shared" si="0"/>
        <v>0</v>
      </c>
      <c r="G57" s="51"/>
      <c r="H57" s="51"/>
      <c r="I57" s="51">
        <f t="shared" si="1"/>
        <v>0</v>
      </c>
      <c r="J57" s="51">
        <f t="shared" si="2"/>
        <v>0</v>
      </c>
      <c r="K57" s="136"/>
      <c r="L57" s="55"/>
      <c r="M57" s="51"/>
      <c r="N57" s="51"/>
      <c r="O57" s="51"/>
      <c r="P57" s="51"/>
      <c r="Q57" s="51"/>
      <c r="R57" s="56"/>
      <c r="S57" s="56"/>
      <c r="T57" s="51"/>
      <c r="U57" s="55"/>
      <c r="V57" s="51"/>
      <c r="W57" s="56"/>
      <c r="X57" s="56"/>
      <c r="Y57" s="56"/>
      <c r="Z57" s="56"/>
      <c r="AA57" s="56"/>
      <c r="AB57" s="56"/>
      <c r="AC57" s="56"/>
      <c r="AD57" s="56"/>
      <c r="AE57" s="56"/>
      <c r="AF57" s="56"/>
      <c r="AG57" s="56"/>
      <c r="AH57" s="51">
        <f t="shared" ref="AH57:AH76" si="6">ROUND(AF57,-1)</f>
        <v>0</v>
      </c>
    </row>
    <row r="58" spans="1:34" ht="37.5" customHeight="1" x14ac:dyDescent="0.25">
      <c r="A58" s="264" t="s">
        <v>308</v>
      </c>
      <c r="B58" s="85" t="s">
        <v>226</v>
      </c>
      <c r="C58" s="80"/>
      <c r="D58" s="108"/>
      <c r="E58" s="96"/>
      <c r="F58" s="80">
        <f t="shared" si="0"/>
        <v>0</v>
      </c>
      <c r="G58" s="51"/>
      <c r="H58" s="51"/>
      <c r="I58" s="51">
        <f t="shared" si="1"/>
        <v>0</v>
      </c>
      <c r="J58" s="51">
        <f t="shared" si="2"/>
        <v>0</v>
      </c>
      <c r="K58" s="136"/>
      <c r="L58" s="55"/>
      <c r="M58" s="51"/>
      <c r="N58" s="51"/>
      <c r="O58" s="51"/>
      <c r="P58" s="51"/>
      <c r="Q58" s="51"/>
      <c r="R58" s="56"/>
      <c r="S58" s="56"/>
      <c r="T58" s="51"/>
      <c r="U58" s="55"/>
      <c r="V58" s="51"/>
      <c r="W58" s="56"/>
      <c r="X58" s="56"/>
      <c r="Y58" s="56"/>
      <c r="Z58" s="56"/>
      <c r="AA58" s="56"/>
      <c r="AB58" s="56"/>
      <c r="AC58" s="56"/>
      <c r="AD58" s="56"/>
      <c r="AE58" s="56"/>
      <c r="AF58" s="56"/>
      <c r="AG58" s="56"/>
      <c r="AH58" s="51">
        <f t="shared" si="6"/>
        <v>0</v>
      </c>
    </row>
    <row r="59" spans="1:34" ht="84" customHeight="1" x14ac:dyDescent="0.25">
      <c r="A59" s="265"/>
      <c r="B59" s="79" t="s">
        <v>369</v>
      </c>
      <c r="C59" s="80" t="s">
        <v>47</v>
      </c>
      <c r="D59" s="103">
        <v>4000</v>
      </c>
      <c r="E59" s="80">
        <v>2938.87</v>
      </c>
      <c r="F59" s="80">
        <f t="shared" si="0"/>
        <v>11755480</v>
      </c>
      <c r="G59" s="51">
        <f>D59*0.5</f>
        <v>2000</v>
      </c>
      <c r="H59" s="51"/>
      <c r="I59" s="51">
        <f t="shared" si="1"/>
        <v>3232.7570000000001</v>
      </c>
      <c r="J59" s="51">
        <f t="shared" si="2"/>
        <v>12931028</v>
      </c>
      <c r="K59" s="80">
        <v>2938.87</v>
      </c>
      <c r="L59" s="266" t="s">
        <v>367</v>
      </c>
      <c r="M59" s="51"/>
      <c r="N59" s="51"/>
      <c r="O59" s="51"/>
      <c r="P59" s="51"/>
      <c r="Q59" s="51"/>
      <c r="R59" s="56"/>
      <c r="S59" s="56"/>
      <c r="T59" s="51"/>
      <c r="U59" s="55"/>
      <c r="V59" s="51"/>
      <c r="W59" s="56"/>
      <c r="X59" s="56"/>
      <c r="Y59" s="56"/>
      <c r="Z59" s="56"/>
      <c r="AA59" s="56"/>
      <c r="AB59" s="56"/>
      <c r="AC59" s="56"/>
      <c r="AD59" s="56"/>
      <c r="AE59" s="56"/>
      <c r="AF59" s="56">
        <f>G59</f>
        <v>2000</v>
      </c>
      <c r="AG59" s="56"/>
      <c r="AH59" s="51">
        <f t="shared" si="6"/>
        <v>2000</v>
      </c>
    </row>
    <row r="60" spans="1:34" ht="38.25" customHeight="1" x14ac:dyDescent="0.25">
      <c r="A60" s="264" t="s">
        <v>309</v>
      </c>
      <c r="B60" s="85" t="s">
        <v>349</v>
      </c>
      <c r="C60" s="80"/>
      <c r="D60" s="108"/>
      <c r="E60" s="82"/>
      <c r="F60" s="80">
        <f t="shared" si="0"/>
        <v>0</v>
      </c>
      <c r="G60" s="51"/>
      <c r="H60" s="51"/>
      <c r="I60" s="51">
        <f t="shared" si="1"/>
        <v>0</v>
      </c>
      <c r="J60" s="51">
        <f t="shared" si="2"/>
        <v>0</v>
      </c>
      <c r="K60" s="136"/>
      <c r="L60" s="266"/>
      <c r="M60" s="51"/>
      <c r="N60" s="51"/>
      <c r="O60" s="51"/>
      <c r="P60" s="51"/>
      <c r="Q60" s="51"/>
      <c r="R60" s="56"/>
      <c r="S60" s="56"/>
      <c r="T60" s="51"/>
      <c r="U60" s="55"/>
      <c r="V60" s="51"/>
      <c r="W60" s="56"/>
      <c r="X60" s="56"/>
      <c r="Y60" s="56"/>
      <c r="Z60" s="56"/>
      <c r="AA60" s="56"/>
      <c r="AB60" s="56"/>
      <c r="AC60" s="56"/>
      <c r="AD60" s="56"/>
      <c r="AE60" s="56"/>
      <c r="AF60" s="56"/>
      <c r="AG60" s="56"/>
      <c r="AH60" s="51">
        <f t="shared" si="6"/>
        <v>0</v>
      </c>
    </row>
    <row r="61" spans="1:34" ht="101.25" x14ac:dyDescent="0.25">
      <c r="A61" s="265"/>
      <c r="B61" s="79" t="s">
        <v>368</v>
      </c>
      <c r="C61" s="80" t="s">
        <v>47</v>
      </c>
      <c r="D61" s="103">
        <v>3000</v>
      </c>
      <c r="E61" s="80">
        <v>3498.48</v>
      </c>
      <c r="F61" s="80">
        <f t="shared" si="0"/>
        <v>10495440</v>
      </c>
      <c r="G61" s="51">
        <f>D61*0.5</f>
        <v>1500</v>
      </c>
      <c r="H61" s="51"/>
      <c r="I61" s="51">
        <f t="shared" si="1"/>
        <v>3848.3280000000004</v>
      </c>
      <c r="J61" s="51">
        <f t="shared" si="2"/>
        <v>11544984.000000002</v>
      </c>
      <c r="K61" s="80">
        <v>3498.48</v>
      </c>
      <c r="L61" s="266"/>
      <c r="M61" s="51"/>
      <c r="N61" s="51"/>
      <c r="O61" s="51"/>
      <c r="P61" s="51"/>
      <c r="Q61" s="51"/>
      <c r="R61" s="56"/>
      <c r="S61" s="56"/>
      <c r="T61" s="51"/>
      <c r="U61" s="55"/>
      <c r="V61" s="51"/>
      <c r="W61" s="56"/>
      <c r="X61" s="56"/>
      <c r="Y61" s="56"/>
      <c r="Z61" s="56"/>
      <c r="AA61" s="56"/>
      <c r="AB61" s="56"/>
      <c r="AC61" s="56"/>
      <c r="AD61" s="56"/>
      <c r="AE61" s="56"/>
      <c r="AF61" s="56">
        <f>G61</f>
        <v>1500</v>
      </c>
      <c r="AG61" s="56"/>
      <c r="AH61" s="51">
        <f t="shared" si="6"/>
        <v>1500</v>
      </c>
    </row>
    <row r="62" spans="1:34" ht="31.5" customHeight="1" x14ac:dyDescent="0.25">
      <c r="A62" s="84" t="s">
        <v>310</v>
      </c>
      <c r="B62" s="81" t="s">
        <v>277</v>
      </c>
      <c r="C62" s="80"/>
      <c r="D62" s="104"/>
      <c r="E62" s="96"/>
      <c r="F62" s="80">
        <f t="shared" si="0"/>
        <v>0</v>
      </c>
      <c r="G62" s="51"/>
      <c r="H62" s="51"/>
      <c r="I62" s="51">
        <f t="shared" si="1"/>
        <v>0</v>
      </c>
      <c r="J62" s="51">
        <f t="shared" si="2"/>
        <v>0</v>
      </c>
      <c r="K62" s="136"/>
      <c r="L62" s="55"/>
      <c r="M62" s="51"/>
      <c r="N62" s="51"/>
      <c r="O62" s="51"/>
      <c r="P62" s="51"/>
      <c r="Q62" s="51"/>
      <c r="R62" s="56"/>
      <c r="S62" s="56"/>
      <c r="T62" s="51"/>
      <c r="U62" s="55"/>
      <c r="V62" s="51"/>
      <c r="W62" s="56"/>
      <c r="X62" s="56"/>
      <c r="Y62" s="56"/>
      <c r="Z62" s="56"/>
      <c r="AA62" s="56"/>
      <c r="AB62" s="56"/>
      <c r="AC62" s="56"/>
      <c r="AD62" s="56"/>
      <c r="AE62" s="56"/>
      <c r="AF62" s="56"/>
      <c r="AG62" s="56"/>
      <c r="AH62" s="51">
        <f t="shared" si="6"/>
        <v>0</v>
      </c>
    </row>
    <row r="63" spans="1:34" ht="38.1" customHeight="1" x14ac:dyDescent="0.25">
      <c r="A63" s="71" t="s">
        <v>311</v>
      </c>
      <c r="B63" s="79" t="s">
        <v>227</v>
      </c>
      <c r="C63" s="80" t="s">
        <v>17</v>
      </c>
      <c r="D63" s="103">
        <v>3000</v>
      </c>
      <c r="E63" s="96">
        <v>279.2</v>
      </c>
      <c r="F63" s="80">
        <f t="shared" si="0"/>
        <v>837600</v>
      </c>
      <c r="G63" s="51"/>
      <c r="H63" s="51"/>
      <c r="I63" s="51">
        <f t="shared" si="1"/>
        <v>307.12</v>
      </c>
      <c r="J63" s="51">
        <f t="shared" si="2"/>
        <v>921360</v>
      </c>
      <c r="K63" s="136"/>
      <c r="L63" s="55"/>
      <c r="M63" s="51"/>
      <c r="N63" s="51"/>
      <c r="O63" s="51"/>
      <c r="P63" s="51"/>
      <c r="Q63" s="51"/>
      <c r="R63" s="56"/>
      <c r="S63" s="59"/>
      <c r="T63" s="51"/>
      <c r="U63" s="55"/>
      <c r="V63" s="51"/>
      <c r="W63" s="56"/>
      <c r="X63" s="56"/>
      <c r="Y63" s="56"/>
      <c r="Z63" s="56"/>
      <c r="AA63" s="56"/>
      <c r="AB63" s="56"/>
      <c r="AC63" s="56"/>
      <c r="AD63" s="56"/>
      <c r="AE63" s="56"/>
      <c r="AF63" s="56">
        <f>V63-G63</f>
        <v>0</v>
      </c>
      <c r="AG63" s="56"/>
      <c r="AH63" s="51">
        <f t="shared" si="6"/>
        <v>0</v>
      </c>
    </row>
    <row r="64" spans="1:34" ht="88.5" customHeight="1" x14ac:dyDescent="0.25">
      <c r="A64" s="71" t="s">
        <v>228</v>
      </c>
      <c r="B64" s="79" t="s">
        <v>270</v>
      </c>
      <c r="C64" s="80"/>
      <c r="D64" s="103"/>
      <c r="E64" s="96"/>
      <c r="F64" s="80">
        <f t="shared" si="0"/>
        <v>0</v>
      </c>
      <c r="G64" s="51"/>
      <c r="H64" s="51"/>
      <c r="I64" s="51">
        <f t="shared" si="1"/>
        <v>0</v>
      </c>
      <c r="J64" s="51">
        <f t="shared" si="2"/>
        <v>0</v>
      </c>
      <c r="K64" s="136"/>
      <c r="L64" s="55"/>
      <c r="M64" s="51"/>
      <c r="N64" s="51"/>
      <c r="O64" s="51"/>
      <c r="P64" s="51"/>
      <c r="Q64" s="51"/>
      <c r="R64" s="56"/>
      <c r="S64" s="56"/>
      <c r="T64" s="51"/>
      <c r="U64" s="55"/>
      <c r="V64" s="51"/>
      <c r="W64" s="56"/>
      <c r="X64" s="56"/>
      <c r="Y64" s="56"/>
      <c r="Z64" s="56"/>
      <c r="AA64" s="56"/>
      <c r="AB64" s="56"/>
      <c r="AC64" s="56"/>
      <c r="AD64" s="56"/>
      <c r="AE64" s="56"/>
      <c r="AF64" s="56"/>
      <c r="AG64" s="56"/>
      <c r="AH64" s="51">
        <f t="shared" si="6"/>
        <v>0</v>
      </c>
    </row>
    <row r="65" spans="1:34" ht="27.2" customHeight="1" x14ac:dyDescent="0.25">
      <c r="A65" s="264" t="s">
        <v>312</v>
      </c>
      <c r="B65" s="81" t="s">
        <v>229</v>
      </c>
      <c r="C65" s="80"/>
      <c r="D65" s="104"/>
      <c r="E65" s="96"/>
      <c r="F65" s="80">
        <f t="shared" si="0"/>
        <v>0</v>
      </c>
      <c r="G65" s="51"/>
      <c r="H65" s="51"/>
      <c r="I65" s="51">
        <f t="shared" si="1"/>
        <v>0</v>
      </c>
      <c r="J65" s="51">
        <f t="shared" si="2"/>
        <v>0</v>
      </c>
      <c r="K65" s="136"/>
      <c r="L65" s="55"/>
      <c r="M65" s="51"/>
      <c r="N65" s="51"/>
      <c r="O65" s="51"/>
      <c r="P65" s="51"/>
      <c r="Q65" s="51"/>
      <c r="R65" s="56"/>
      <c r="S65" s="56"/>
      <c r="T65" s="51"/>
      <c r="U65" s="55"/>
      <c r="V65" s="51"/>
      <c r="W65" s="56"/>
      <c r="X65" s="56"/>
      <c r="Y65" s="56"/>
      <c r="Z65" s="56"/>
      <c r="AA65" s="56"/>
      <c r="AB65" s="56"/>
      <c r="AC65" s="56"/>
      <c r="AD65" s="56"/>
      <c r="AE65" s="56"/>
      <c r="AF65" s="56"/>
      <c r="AG65" s="56"/>
      <c r="AH65" s="51">
        <f t="shared" si="6"/>
        <v>0</v>
      </c>
    </row>
    <row r="66" spans="1:34" ht="99" customHeight="1" x14ac:dyDescent="0.25">
      <c r="A66" s="265"/>
      <c r="B66" s="79" t="s">
        <v>230</v>
      </c>
      <c r="C66" s="80"/>
      <c r="D66" s="103"/>
      <c r="E66" s="96"/>
      <c r="F66" s="80">
        <f t="shared" si="0"/>
        <v>0</v>
      </c>
      <c r="G66" s="51"/>
      <c r="H66" s="51"/>
      <c r="I66" s="51">
        <f t="shared" si="1"/>
        <v>0</v>
      </c>
      <c r="J66" s="51">
        <f t="shared" si="2"/>
        <v>0</v>
      </c>
      <c r="K66" s="136"/>
      <c r="L66" s="55"/>
      <c r="M66" s="51"/>
      <c r="N66" s="51"/>
      <c r="O66" s="51"/>
      <c r="P66" s="51"/>
      <c r="Q66" s="51"/>
      <c r="R66" s="56"/>
      <c r="S66" s="56"/>
      <c r="T66" s="51"/>
      <c r="U66" s="55"/>
      <c r="V66" s="51"/>
      <c r="W66" s="56"/>
      <c r="X66" s="56"/>
      <c r="Y66" s="56"/>
      <c r="Z66" s="56"/>
      <c r="AA66" s="56"/>
      <c r="AB66" s="56"/>
      <c r="AC66" s="56"/>
      <c r="AD66" s="56"/>
      <c r="AE66" s="56"/>
      <c r="AF66" s="56"/>
      <c r="AG66" s="56"/>
      <c r="AH66" s="51">
        <f t="shared" si="6"/>
        <v>0</v>
      </c>
    </row>
    <row r="67" spans="1:34" ht="30" customHeight="1" x14ac:dyDescent="0.25">
      <c r="A67" s="71" t="s">
        <v>313</v>
      </c>
      <c r="B67" s="79" t="s">
        <v>352</v>
      </c>
      <c r="C67" s="80" t="s">
        <v>47</v>
      </c>
      <c r="D67" s="103">
        <v>8000</v>
      </c>
      <c r="E67" s="136">
        <v>293</v>
      </c>
      <c r="F67" s="80">
        <f t="shared" si="0"/>
        <v>2344000</v>
      </c>
      <c r="G67" s="51"/>
      <c r="H67" s="51"/>
      <c r="I67" s="51">
        <f t="shared" si="1"/>
        <v>322.3</v>
      </c>
      <c r="J67" s="51">
        <f t="shared" si="2"/>
        <v>2578400</v>
      </c>
      <c r="K67" s="136">
        <v>293</v>
      </c>
      <c r="L67" s="55" t="s">
        <v>367</v>
      </c>
      <c r="M67" s="51"/>
      <c r="N67" s="51"/>
      <c r="O67" s="51"/>
      <c r="P67" s="51"/>
      <c r="Q67" s="51"/>
      <c r="R67" s="56"/>
      <c r="S67" s="56"/>
      <c r="T67" s="51"/>
      <c r="U67" s="55"/>
      <c r="V67" s="51"/>
      <c r="W67" s="56"/>
      <c r="X67" s="56"/>
      <c r="Y67" s="56"/>
      <c r="Z67" s="56"/>
      <c r="AA67" s="56"/>
      <c r="AB67" s="56"/>
      <c r="AC67" s="56"/>
      <c r="AD67" s="56"/>
      <c r="AE67" s="56"/>
      <c r="AF67" s="56">
        <f>G67</f>
        <v>0</v>
      </c>
      <c r="AG67" s="56"/>
      <c r="AH67" s="51">
        <f t="shared" si="6"/>
        <v>0</v>
      </c>
    </row>
    <row r="68" spans="1:34" ht="30" customHeight="1" x14ac:dyDescent="0.25">
      <c r="A68" s="71" t="s">
        <v>314</v>
      </c>
      <c r="B68" s="81" t="s">
        <v>255</v>
      </c>
      <c r="C68" s="80"/>
      <c r="D68" s="104"/>
      <c r="E68" s="96"/>
      <c r="F68" s="80">
        <f t="shared" si="0"/>
        <v>0</v>
      </c>
      <c r="G68" s="51"/>
      <c r="H68" s="51"/>
      <c r="I68" s="51">
        <f t="shared" si="1"/>
        <v>0</v>
      </c>
      <c r="J68" s="51">
        <f t="shared" si="2"/>
        <v>0</v>
      </c>
      <c r="K68" s="136"/>
      <c r="L68" s="55"/>
      <c r="M68" s="51"/>
      <c r="N68" s="51"/>
      <c r="O68" s="51"/>
      <c r="P68" s="51"/>
      <c r="Q68" s="51"/>
      <c r="R68" s="56"/>
      <c r="S68" s="56"/>
      <c r="T68" s="51"/>
      <c r="U68" s="55"/>
      <c r="V68" s="51"/>
      <c r="W68" s="56"/>
      <c r="X68" s="56"/>
      <c r="Y68" s="56"/>
      <c r="Z68" s="56"/>
      <c r="AA68" s="56"/>
      <c r="AB68" s="56"/>
      <c r="AC68" s="56"/>
      <c r="AD68" s="56"/>
      <c r="AE68" s="56"/>
      <c r="AF68" s="56"/>
      <c r="AG68" s="56"/>
      <c r="AH68" s="51"/>
    </row>
    <row r="69" spans="1:34" ht="81" x14ac:dyDescent="0.25">
      <c r="A69" s="71" t="s">
        <v>315</v>
      </c>
      <c r="B69" s="79" t="s">
        <v>354</v>
      </c>
      <c r="C69" s="80" t="s">
        <v>47</v>
      </c>
      <c r="D69" s="103">
        <v>50</v>
      </c>
      <c r="E69" s="96">
        <v>6980</v>
      </c>
      <c r="F69" s="80">
        <f t="shared" si="0"/>
        <v>349000</v>
      </c>
      <c r="G69" s="51"/>
      <c r="H69" s="51"/>
      <c r="I69" s="51">
        <f t="shared" si="1"/>
        <v>7678.0000000000009</v>
      </c>
      <c r="J69" s="51">
        <f t="shared" si="2"/>
        <v>383900.00000000006</v>
      </c>
      <c r="K69" s="136"/>
      <c r="L69" s="55"/>
      <c r="M69" s="51"/>
      <c r="N69" s="51"/>
      <c r="O69" s="51"/>
      <c r="P69" s="51"/>
      <c r="Q69" s="51"/>
      <c r="R69" s="56"/>
      <c r="S69" s="56"/>
      <c r="T69" s="51"/>
      <c r="U69" s="55"/>
      <c r="V69" s="51"/>
      <c r="W69" s="56"/>
      <c r="X69" s="56"/>
      <c r="Y69" s="56"/>
      <c r="Z69" s="56"/>
      <c r="AA69" s="56"/>
      <c r="AB69" s="56"/>
      <c r="AC69" s="56"/>
      <c r="AD69" s="56"/>
      <c r="AE69" s="56"/>
      <c r="AF69" s="56"/>
      <c r="AG69" s="56"/>
      <c r="AH69" s="51"/>
    </row>
    <row r="70" spans="1:34" ht="30" customHeight="1" x14ac:dyDescent="0.25">
      <c r="A70" s="86"/>
      <c r="B70" s="98"/>
      <c r="C70" s="80"/>
      <c r="D70" s="103"/>
      <c r="E70" s="96"/>
      <c r="F70" s="80">
        <f t="shared" si="0"/>
        <v>0</v>
      </c>
      <c r="G70" s="51"/>
      <c r="H70" s="51"/>
      <c r="I70" s="51">
        <f t="shared" si="1"/>
        <v>0</v>
      </c>
      <c r="J70" s="51">
        <f t="shared" si="2"/>
        <v>0</v>
      </c>
      <c r="K70" s="136"/>
      <c r="L70" s="55"/>
      <c r="M70" s="51"/>
      <c r="N70" s="51"/>
      <c r="O70" s="51"/>
      <c r="P70" s="51"/>
      <c r="Q70" s="51"/>
      <c r="R70" s="56"/>
      <c r="S70" s="56"/>
      <c r="T70" s="51"/>
      <c r="U70" s="55"/>
      <c r="V70" s="51"/>
      <c r="W70" s="56"/>
      <c r="X70" s="56"/>
      <c r="Y70" s="56"/>
      <c r="Z70" s="56"/>
      <c r="AA70" s="56"/>
      <c r="AB70" s="56"/>
      <c r="AC70" s="56"/>
      <c r="AD70" s="56"/>
      <c r="AE70" s="56"/>
      <c r="AF70" s="56"/>
      <c r="AG70" s="56"/>
      <c r="AH70" s="51"/>
    </row>
    <row r="71" spans="1:34" ht="36.75" customHeight="1" x14ac:dyDescent="0.25">
      <c r="A71" s="259" t="s">
        <v>231</v>
      </c>
      <c r="B71" s="260"/>
      <c r="C71" s="78"/>
      <c r="D71" s="104"/>
      <c r="E71" s="125"/>
      <c r="F71" s="80">
        <f t="shared" si="0"/>
        <v>0</v>
      </c>
      <c r="G71" s="51"/>
      <c r="H71" s="51"/>
      <c r="I71" s="51">
        <f t="shared" si="1"/>
        <v>0</v>
      </c>
      <c r="J71" s="51">
        <f t="shared" si="2"/>
        <v>0</v>
      </c>
      <c r="K71" s="136"/>
      <c r="L71" s="55"/>
      <c r="M71" s="51"/>
      <c r="N71" s="51"/>
      <c r="O71" s="51"/>
      <c r="P71" s="51"/>
      <c r="Q71" s="51"/>
      <c r="R71" s="56"/>
      <c r="S71" s="56"/>
      <c r="T71" s="56"/>
      <c r="U71" s="56"/>
      <c r="V71" s="56"/>
      <c r="W71" s="56"/>
      <c r="X71" s="56"/>
      <c r="Y71" s="56"/>
      <c r="Z71" s="56"/>
      <c r="AA71" s="56"/>
      <c r="AB71" s="56"/>
      <c r="AC71" s="56"/>
      <c r="AD71" s="56"/>
      <c r="AE71" s="56"/>
      <c r="AF71" s="56"/>
      <c r="AG71" s="56"/>
      <c r="AH71" s="51">
        <f t="shared" si="6"/>
        <v>0</v>
      </c>
    </row>
    <row r="72" spans="1:34" ht="38.25" customHeight="1" x14ac:dyDescent="0.25">
      <c r="A72" s="71" t="s">
        <v>289</v>
      </c>
      <c r="B72" s="81" t="s">
        <v>261</v>
      </c>
      <c r="C72" s="80"/>
      <c r="D72" s="104"/>
      <c r="E72" s="96"/>
      <c r="F72" s="80">
        <f t="shared" si="0"/>
        <v>0</v>
      </c>
      <c r="G72" s="51"/>
      <c r="H72" s="51"/>
      <c r="I72" s="51">
        <f t="shared" si="1"/>
        <v>0</v>
      </c>
      <c r="J72" s="51">
        <f t="shared" si="2"/>
        <v>0</v>
      </c>
      <c r="K72" s="136"/>
      <c r="L72" s="55"/>
      <c r="M72" s="51"/>
      <c r="N72" s="51"/>
      <c r="O72" s="51"/>
      <c r="P72" s="51"/>
      <c r="Q72" s="51"/>
      <c r="R72" s="56"/>
      <c r="S72" s="56"/>
      <c r="T72" s="56"/>
      <c r="U72" s="56"/>
      <c r="V72" s="56"/>
      <c r="W72" s="56"/>
      <c r="X72" s="56"/>
      <c r="Y72" s="56"/>
      <c r="Z72" s="56"/>
      <c r="AA72" s="56"/>
      <c r="AB72" s="56"/>
      <c r="AC72" s="56"/>
      <c r="AD72" s="56"/>
      <c r="AE72" s="56"/>
      <c r="AF72" s="56"/>
      <c r="AG72" s="56"/>
      <c r="AH72" s="51">
        <f t="shared" si="6"/>
        <v>0</v>
      </c>
    </row>
    <row r="73" spans="1:34" ht="144" customHeight="1" x14ac:dyDescent="0.25">
      <c r="A73" s="71" t="s">
        <v>290</v>
      </c>
      <c r="B73" s="79" t="s">
        <v>262</v>
      </c>
      <c r="C73" s="80" t="s">
        <v>102</v>
      </c>
      <c r="D73" s="103">
        <f>10*6</f>
        <v>60</v>
      </c>
      <c r="E73" s="96">
        <v>6002.8</v>
      </c>
      <c r="F73" s="80">
        <f t="shared" si="0"/>
        <v>360168</v>
      </c>
      <c r="G73" s="51"/>
      <c r="H73" s="51"/>
      <c r="I73" s="51">
        <f t="shared" si="1"/>
        <v>6603.0800000000008</v>
      </c>
      <c r="J73" s="51">
        <f t="shared" si="2"/>
        <v>396184.80000000005</v>
      </c>
      <c r="K73" s="138"/>
      <c r="L73" s="56"/>
      <c r="M73" s="56"/>
      <c r="N73" s="56"/>
      <c r="O73" s="56"/>
      <c r="P73" s="56"/>
      <c r="Q73" s="56"/>
      <c r="R73" s="56"/>
      <c r="S73" s="56"/>
      <c r="T73" s="56"/>
      <c r="U73" s="56"/>
      <c r="V73" s="56"/>
      <c r="W73" s="56"/>
      <c r="X73" s="56"/>
      <c r="Y73" s="56"/>
      <c r="Z73" s="56"/>
      <c r="AA73" s="56"/>
      <c r="AB73" s="56"/>
      <c r="AC73" s="56"/>
      <c r="AD73" s="56"/>
      <c r="AE73" s="56"/>
      <c r="AF73" s="56"/>
      <c r="AG73" s="56"/>
      <c r="AH73" s="51">
        <f t="shared" si="6"/>
        <v>0</v>
      </c>
    </row>
    <row r="74" spans="1:34" ht="162" customHeight="1" x14ac:dyDescent="0.25">
      <c r="A74" s="71" t="s">
        <v>316</v>
      </c>
      <c r="B74" s="99" t="s">
        <v>232</v>
      </c>
      <c r="C74" s="80" t="s">
        <v>104</v>
      </c>
      <c r="D74" s="103">
        <f>15*50</f>
        <v>750</v>
      </c>
      <c r="E74" s="96">
        <v>66.31</v>
      </c>
      <c r="F74" s="80">
        <f t="shared" si="0"/>
        <v>49732.5</v>
      </c>
      <c r="G74" s="60"/>
      <c r="H74" s="60"/>
      <c r="I74" s="51">
        <f t="shared" si="1"/>
        <v>72.941000000000003</v>
      </c>
      <c r="J74" s="51">
        <f t="shared" si="2"/>
        <v>54705.75</v>
      </c>
      <c r="K74" s="139"/>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60">
        <f t="shared" si="6"/>
        <v>0</v>
      </c>
    </row>
    <row r="75" spans="1:34" ht="37.5" customHeight="1" x14ac:dyDescent="0.25">
      <c r="A75" s="257" t="s">
        <v>317</v>
      </c>
      <c r="B75" s="81" t="s">
        <v>350</v>
      </c>
      <c r="C75" s="80"/>
      <c r="D75" s="104"/>
      <c r="E75" s="96"/>
      <c r="F75" s="80">
        <f t="shared" si="0"/>
        <v>0</v>
      </c>
      <c r="G75" s="51"/>
      <c r="H75" s="51"/>
      <c r="I75" s="51">
        <f t="shared" si="1"/>
        <v>0</v>
      </c>
      <c r="J75" s="51">
        <f t="shared" si="2"/>
        <v>0</v>
      </c>
      <c r="K75" s="138"/>
      <c r="L75" s="56"/>
      <c r="M75" s="56"/>
      <c r="N75" s="56"/>
      <c r="O75" s="56"/>
      <c r="P75" s="56"/>
      <c r="Q75" s="56"/>
      <c r="R75" s="56"/>
      <c r="S75" s="56"/>
      <c r="T75" s="56"/>
      <c r="U75" s="56"/>
      <c r="V75" s="56"/>
      <c r="W75" s="56"/>
      <c r="X75" s="56"/>
      <c r="Y75" s="56"/>
      <c r="Z75" s="56"/>
      <c r="AA75" s="56"/>
      <c r="AB75" s="56"/>
      <c r="AC75" s="56"/>
      <c r="AD75" s="56"/>
      <c r="AE75" s="56"/>
      <c r="AF75" s="56"/>
      <c r="AG75" s="56"/>
      <c r="AH75" s="51">
        <f t="shared" si="6"/>
        <v>0</v>
      </c>
    </row>
    <row r="76" spans="1:34" ht="122.25" customHeight="1" x14ac:dyDescent="0.25">
      <c r="A76" s="258"/>
      <c r="B76" s="79" t="s">
        <v>351</v>
      </c>
      <c r="C76" s="80"/>
      <c r="D76" s="103"/>
      <c r="E76" s="96"/>
      <c r="F76" s="80">
        <f t="shared" si="0"/>
        <v>0</v>
      </c>
      <c r="G76" s="51"/>
      <c r="H76" s="51"/>
      <c r="I76" s="51">
        <f t="shared" si="1"/>
        <v>0</v>
      </c>
      <c r="J76" s="51">
        <f t="shared" si="2"/>
        <v>0</v>
      </c>
      <c r="K76" s="138"/>
      <c r="L76" s="56"/>
      <c r="M76" s="56"/>
      <c r="N76" s="56"/>
      <c r="O76" s="56"/>
      <c r="P76" s="56"/>
      <c r="Q76" s="56"/>
      <c r="R76" s="56"/>
      <c r="S76" s="56"/>
      <c r="T76" s="56"/>
      <c r="U76" s="56"/>
      <c r="V76" s="56"/>
      <c r="W76" s="56"/>
      <c r="X76" s="56"/>
      <c r="Y76" s="56"/>
      <c r="Z76" s="56"/>
      <c r="AA76" s="56"/>
      <c r="AB76" s="56"/>
      <c r="AC76" s="56"/>
      <c r="AD76" s="56"/>
      <c r="AE76" s="56"/>
      <c r="AF76" s="56"/>
      <c r="AG76" s="56"/>
      <c r="AH76" s="51">
        <f t="shared" si="6"/>
        <v>0</v>
      </c>
    </row>
    <row r="77" spans="1:34" ht="27" customHeight="1" x14ac:dyDescent="0.25">
      <c r="A77" s="71" t="s">
        <v>318</v>
      </c>
      <c r="B77" s="79" t="s">
        <v>233</v>
      </c>
      <c r="C77" s="80" t="s">
        <v>47</v>
      </c>
      <c r="D77" s="103">
        <v>5</v>
      </c>
      <c r="E77" s="96">
        <v>27920</v>
      </c>
      <c r="F77" s="80">
        <f t="shared" si="0"/>
        <v>139600</v>
      </c>
      <c r="G77" s="51"/>
      <c r="H77" s="51"/>
      <c r="I77" s="51">
        <f t="shared" si="1"/>
        <v>30712.000000000004</v>
      </c>
      <c r="J77" s="51">
        <f t="shared" si="2"/>
        <v>153560.00000000003</v>
      </c>
      <c r="K77" s="138"/>
      <c r="L77" s="56"/>
      <c r="M77" s="56"/>
      <c r="N77" s="56"/>
      <c r="O77" s="56"/>
      <c r="P77" s="56"/>
      <c r="Q77" s="56"/>
      <c r="R77" s="56"/>
      <c r="S77" s="56"/>
      <c r="T77" s="51"/>
      <c r="U77" s="55"/>
      <c r="V77" s="51"/>
      <c r="W77" s="56"/>
      <c r="X77" s="56"/>
      <c r="Y77" s="56"/>
      <c r="Z77" s="56"/>
      <c r="AA77" s="56"/>
      <c r="AB77" s="56"/>
      <c r="AC77" s="56"/>
      <c r="AD77" s="56"/>
      <c r="AE77" s="56"/>
      <c r="AF77" s="56">
        <f>V77</f>
        <v>0</v>
      </c>
      <c r="AG77" s="56"/>
      <c r="AH77" s="51">
        <f>ROUND(AF77,-4)</f>
        <v>0</v>
      </c>
    </row>
    <row r="78" spans="1:34" ht="180" customHeight="1" x14ac:dyDescent="0.25">
      <c r="A78" s="71" t="s">
        <v>319</v>
      </c>
      <c r="B78" s="79" t="s">
        <v>234</v>
      </c>
      <c r="C78" s="80" t="s">
        <v>47</v>
      </c>
      <c r="D78" s="103">
        <v>15</v>
      </c>
      <c r="E78" s="145">
        <v>90000</v>
      </c>
      <c r="F78" s="80">
        <f t="shared" si="0"/>
        <v>1350000</v>
      </c>
      <c r="G78" s="51"/>
      <c r="H78" s="51"/>
      <c r="I78" s="51">
        <f t="shared" si="1"/>
        <v>99000.000000000015</v>
      </c>
      <c r="J78" s="51">
        <f t="shared" si="2"/>
        <v>1485000.0000000002</v>
      </c>
      <c r="K78" s="138"/>
      <c r="L78" s="56"/>
      <c r="M78" s="56"/>
      <c r="N78" s="56"/>
      <c r="O78" s="56"/>
      <c r="P78" s="56"/>
      <c r="Q78" s="56"/>
      <c r="R78" s="56"/>
      <c r="S78" s="56"/>
      <c r="T78" s="51"/>
      <c r="U78" s="55"/>
      <c r="V78" s="51"/>
      <c r="W78" s="56"/>
      <c r="X78" s="56"/>
      <c r="Y78" s="56"/>
      <c r="Z78" s="56"/>
      <c r="AA78" s="56"/>
      <c r="AB78" s="56"/>
      <c r="AC78" s="56"/>
      <c r="AD78" s="56"/>
      <c r="AE78" s="56"/>
      <c r="AF78" s="56">
        <f>V78</f>
        <v>0</v>
      </c>
      <c r="AG78" s="56"/>
      <c r="AH78" s="51">
        <f>ROUND(AF78,-3)</f>
        <v>0</v>
      </c>
    </row>
    <row r="79" spans="1:34" ht="37.5" customHeight="1" x14ac:dyDescent="0.25">
      <c r="A79" s="71" t="s">
        <v>320</v>
      </c>
      <c r="B79" s="79" t="s">
        <v>235</v>
      </c>
      <c r="C79" s="80" t="s">
        <v>47</v>
      </c>
      <c r="D79" s="103">
        <v>50</v>
      </c>
      <c r="E79" s="96">
        <v>6282</v>
      </c>
      <c r="F79" s="80">
        <f t="shared" si="0"/>
        <v>314100</v>
      </c>
      <c r="G79" s="51"/>
      <c r="H79" s="51"/>
      <c r="I79" s="51">
        <f t="shared" si="1"/>
        <v>6910.2000000000007</v>
      </c>
      <c r="J79" s="51">
        <f t="shared" si="2"/>
        <v>345510.00000000006</v>
      </c>
      <c r="K79" s="138"/>
      <c r="L79" s="56"/>
      <c r="M79" s="56"/>
      <c r="N79" s="56"/>
      <c r="O79" s="56"/>
      <c r="P79" s="56"/>
      <c r="Q79" s="56"/>
      <c r="R79" s="56"/>
      <c r="S79" s="56"/>
      <c r="T79" s="51"/>
      <c r="U79" s="55"/>
      <c r="V79" s="51"/>
      <c r="W79" s="56"/>
      <c r="X79" s="56"/>
      <c r="Y79" s="56"/>
      <c r="Z79" s="56"/>
      <c r="AA79" s="56"/>
      <c r="AB79" s="56"/>
      <c r="AC79" s="56"/>
      <c r="AD79" s="56"/>
      <c r="AE79" s="56"/>
      <c r="AF79" s="56">
        <f>V79</f>
        <v>0</v>
      </c>
      <c r="AG79" s="56"/>
      <c r="AH79" s="51">
        <f>ROUND(AF79,-3)</f>
        <v>0</v>
      </c>
    </row>
    <row r="80" spans="1:34" ht="35.25" customHeight="1" x14ac:dyDescent="0.25">
      <c r="A80" s="257" t="s">
        <v>326</v>
      </c>
      <c r="B80" s="81" t="s">
        <v>236</v>
      </c>
      <c r="C80" s="80"/>
      <c r="D80" s="104"/>
      <c r="E80" s="96"/>
      <c r="F80" s="80">
        <f t="shared" si="0"/>
        <v>0</v>
      </c>
      <c r="G80" s="51"/>
      <c r="H80" s="51"/>
      <c r="I80" s="51">
        <f t="shared" si="1"/>
        <v>0</v>
      </c>
      <c r="J80" s="51">
        <f t="shared" si="2"/>
        <v>0</v>
      </c>
      <c r="K80" s="138"/>
      <c r="L80" s="56"/>
      <c r="M80" s="56"/>
      <c r="N80" s="56"/>
      <c r="O80" s="56"/>
      <c r="P80" s="56"/>
      <c r="Q80" s="56"/>
      <c r="R80" s="56"/>
      <c r="S80" s="56"/>
      <c r="T80" s="56"/>
      <c r="U80" s="56"/>
      <c r="V80" s="56"/>
      <c r="W80" s="56"/>
      <c r="X80" s="56"/>
      <c r="Y80" s="56"/>
      <c r="Z80" s="56"/>
      <c r="AA80" s="56"/>
      <c r="AB80" s="56"/>
      <c r="AC80" s="56"/>
      <c r="AD80" s="56"/>
      <c r="AE80" s="56"/>
      <c r="AF80" s="56"/>
      <c r="AG80" s="56"/>
      <c r="AH80" s="51">
        <f>ROUND(AF80,-1)</f>
        <v>0</v>
      </c>
    </row>
    <row r="81" spans="1:34" ht="74.25" customHeight="1" x14ac:dyDescent="0.25">
      <c r="A81" s="258"/>
      <c r="B81" s="79" t="s">
        <v>237</v>
      </c>
      <c r="C81" s="80"/>
      <c r="D81" s="103"/>
      <c r="E81" s="96"/>
      <c r="F81" s="80">
        <f t="shared" si="0"/>
        <v>0</v>
      </c>
      <c r="G81" s="51"/>
      <c r="H81" s="51"/>
      <c r="I81" s="51">
        <f t="shared" si="1"/>
        <v>0</v>
      </c>
      <c r="J81" s="51">
        <f t="shared" si="2"/>
        <v>0</v>
      </c>
      <c r="K81" s="138"/>
      <c r="L81" s="56"/>
      <c r="M81" s="56"/>
      <c r="N81" s="56"/>
      <c r="O81" s="56"/>
      <c r="P81" s="56"/>
      <c r="Q81" s="56"/>
      <c r="R81" s="56"/>
      <c r="S81" s="56"/>
      <c r="T81" s="56"/>
      <c r="U81" s="56"/>
      <c r="V81" s="56"/>
      <c r="W81" s="56"/>
      <c r="X81" s="51"/>
      <c r="Y81" s="51"/>
      <c r="Z81" s="51"/>
      <c r="AA81" s="51"/>
      <c r="AB81" s="56"/>
      <c r="AC81" s="56"/>
      <c r="AD81" s="56"/>
      <c r="AE81" s="56" t="s">
        <v>238</v>
      </c>
      <c r="AF81" s="56"/>
      <c r="AG81" s="56"/>
      <c r="AH81" s="51">
        <f>ROUND(AF81,-1)</f>
        <v>0</v>
      </c>
    </row>
    <row r="82" spans="1:34" ht="24" customHeight="1" x14ac:dyDescent="0.25">
      <c r="A82" s="71" t="s">
        <v>327</v>
      </c>
      <c r="B82" s="79" t="s">
        <v>263</v>
      </c>
      <c r="C82" s="80" t="s">
        <v>47</v>
      </c>
      <c r="D82" s="103">
        <v>13</v>
      </c>
      <c r="E82" s="96">
        <v>23034</v>
      </c>
      <c r="F82" s="80">
        <f t="shared" si="0"/>
        <v>299442</v>
      </c>
      <c r="G82" s="51"/>
      <c r="H82" s="51"/>
      <c r="I82" s="51">
        <f t="shared" si="1"/>
        <v>25337.4</v>
      </c>
      <c r="J82" s="51">
        <f t="shared" si="2"/>
        <v>329386.2</v>
      </c>
      <c r="K82" s="136"/>
      <c r="L82" s="58"/>
      <c r="M82" s="51"/>
      <c r="N82" s="51"/>
      <c r="O82" s="56"/>
      <c r="P82" s="56"/>
      <c r="Q82" s="56"/>
      <c r="R82" s="56"/>
      <c r="S82" s="56"/>
      <c r="T82" s="56"/>
      <c r="U82" s="56"/>
      <c r="V82" s="56"/>
      <c r="W82" s="56"/>
      <c r="X82" s="51"/>
      <c r="Y82" s="51"/>
      <c r="Z82" s="51"/>
      <c r="AA82" s="51"/>
      <c r="AB82" s="56"/>
      <c r="AC82" s="56"/>
      <c r="AD82" s="56"/>
      <c r="AE82" s="56">
        <f>1*1</f>
        <v>1</v>
      </c>
      <c r="AF82" s="51" t="e">
        <f>AE82*AVERAGE($N$82,$H$82)</f>
        <v>#DIV/0!</v>
      </c>
      <c r="AG82" s="56"/>
      <c r="AH82" s="51" t="e">
        <f>ROUND(AF82,-3)</f>
        <v>#DIV/0!</v>
      </c>
    </row>
    <row r="83" spans="1:34" ht="27.95" customHeight="1" x14ac:dyDescent="0.25">
      <c r="A83" s="71" t="s">
        <v>328</v>
      </c>
      <c r="B83" s="79" t="s">
        <v>239</v>
      </c>
      <c r="C83" s="80" t="s">
        <v>47</v>
      </c>
      <c r="D83" s="103">
        <v>3</v>
      </c>
      <c r="E83" s="96">
        <v>34202</v>
      </c>
      <c r="F83" s="80">
        <f t="shared" si="0"/>
        <v>102606</v>
      </c>
      <c r="G83" s="51"/>
      <c r="H83" s="51"/>
      <c r="I83" s="51">
        <f t="shared" si="1"/>
        <v>37622.200000000004</v>
      </c>
      <c r="J83" s="51">
        <f t="shared" si="2"/>
        <v>112866.6</v>
      </c>
      <c r="K83" s="136"/>
      <c r="L83" s="58"/>
      <c r="M83" s="51"/>
      <c r="N83" s="51"/>
      <c r="O83" s="56"/>
      <c r="P83" s="56"/>
      <c r="Q83" s="56"/>
      <c r="R83" s="56"/>
      <c r="S83" s="56"/>
      <c r="T83" s="56"/>
      <c r="U83" s="55"/>
      <c r="V83" s="51"/>
      <c r="W83" s="56"/>
      <c r="X83" s="51"/>
      <c r="Y83" s="51"/>
      <c r="Z83" s="51"/>
      <c r="AA83" s="51"/>
      <c r="AB83" s="56"/>
      <c r="AC83" s="56"/>
      <c r="AD83" s="56"/>
      <c r="AE83" s="56">
        <f>1.5*1</f>
        <v>1.5</v>
      </c>
      <c r="AF83" s="51" t="e">
        <f>AE83*AVERAGE($N$82,$H$82)</f>
        <v>#DIV/0!</v>
      </c>
      <c r="AG83" s="56"/>
      <c r="AH83" s="51" t="e">
        <f>ROUND(AF83,-3)</f>
        <v>#DIV/0!</v>
      </c>
    </row>
    <row r="84" spans="1:34" ht="27" customHeight="1" x14ac:dyDescent="0.25">
      <c r="A84" s="71" t="s">
        <v>329</v>
      </c>
      <c r="B84" s="79" t="s">
        <v>240</v>
      </c>
      <c r="C84" s="80" t="s">
        <v>47</v>
      </c>
      <c r="D84" s="103">
        <v>2</v>
      </c>
      <c r="E84" s="96">
        <v>17240.599999999999</v>
      </c>
      <c r="F84" s="80">
        <f t="shared" si="0"/>
        <v>34481.199999999997</v>
      </c>
      <c r="G84" s="51"/>
      <c r="H84" s="60"/>
      <c r="I84" s="51">
        <f t="shared" si="1"/>
        <v>18964.66</v>
      </c>
      <c r="J84" s="51">
        <f t="shared" si="2"/>
        <v>37929.32</v>
      </c>
      <c r="K84" s="138"/>
      <c r="L84" s="56"/>
      <c r="M84" s="56"/>
      <c r="N84" s="56"/>
      <c r="O84" s="56"/>
      <c r="P84" s="56"/>
      <c r="Q84" s="56"/>
      <c r="R84" s="56"/>
      <c r="S84" s="56"/>
      <c r="T84" s="56"/>
      <c r="U84" s="56"/>
      <c r="V84" s="56"/>
      <c r="W84" s="56"/>
      <c r="X84" s="51" t="s">
        <v>241</v>
      </c>
      <c r="Y84" s="51"/>
      <c r="Z84" s="51"/>
      <c r="AA84" s="51"/>
      <c r="AB84" s="56"/>
      <c r="AC84" s="56"/>
      <c r="AD84" s="56"/>
      <c r="AE84" s="56">
        <f>1*1</f>
        <v>1</v>
      </c>
      <c r="AF84" s="51" t="e">
        <f>AF82*X85</f>
        <v>#DIV/0!</v>
      </c>
      <c r="AG84" s="56"/>
      <c r="AH84" s="51" t="e">
        <f>ROUND(AF84,-2)</f>
        <v>#DIV/0!</v>
      </c>
    </row>
    <row r="85" spans="1:34" ht="24" customHeight="1" x14ac:dyDescent="0.25">
      <c r="A85" s="71" t="s">
        <v>330</v>
      </c>
      <c r="B85" s="79" t="s">
        <v>242</v>
      </c>
      <c r="C85" s="80" t="s">
        <v>47</v>
      </c>
      <c r="D85" s="103">
        <v>2</v>
      </c>
      <c r="E85" s="96">
        <v>25826</v>
      </c>
      <c r="F85" s="80">
        <f t="shared" si="0"/>
        <v>51652</v>
      </c>
      <c r="G85" s="51"/>
      <c r="H85" s="51"/>
      <c r="I85" s="51">
        <f t="shared" si="1"/>
        <v>28408.600000000002</v>
      </c>
      <c r="J85" s="51">
        <f t="shared" si="2"/>
        <v>56817.200000000004</v>
      </c>
      <c r="K85" s="138"/>
      <c r="L85" s="56"/>
      <c r="M85" s="56"/>
      <c r="N85" s="56"/>
      <c r="O85" s="56"/>
      <c r="P85" s="56"/>
      <c r="Q85" s="56"/>
      <c r="R85" s="56"/>
      <c r="S85" s="56"/>
      <c r="T85" s="56"/>
      <c r="U85" s="55"/>
      <c r="V85" s="51"/>
      <c r="W85" s="56"/>
      <c r="X85" s="51" t="e">
        <f>W85/W83</f>
        <v>#DIV/0!</v>
      </c>
      <c r="Y85" s="51"/>
      <c r="Z85" s="51"/>
      <c r="AA85" s="51"/>
      <c r="AB85" s="56"/>
      <c r="AC85" s="56"/>
      <c r="AD85" s="56"/>
      <c r="AE85" s="56">
        <f>1.5*1</f>
        <v>1.5</v>
      </c>
      <c r="AF85" s="51" t="e">
        <f>AF83*X85</f>
        <v>#DIV/0!</v>
      </c>
      <c r="AG85" s="56"/>
      <c r="AH85" s="51" t="e">
        <f>ROUND(AF85,-3)</f>
        <v>#DIV/0!</v>
      </c>
    </row>
    <row r="86" spans="1:34" s="52" customFormat="1" ht="42" customHeight="1" x14ac:dyDescent="0.25">
      <c r="A86" s="259" t="s">
        <v>243</v>
      </c>
      <c r="B86" s="260"/>
      <c r="C86" s="80"/>
      <c r="D86" s="104"/>
      <c r="E86" s="96"/>
      <c r="F86" s="80">
        <f t="shared" si="0"/>
        <v>0</v>
      </c>
      <c r="G86" s="51"/>
      <c r="H86" s="51"/>
      <c r="I86" s="51">
        <f t="shared" si="1"/>
        <v>0</v>
      </c>
      <c r="J86" s="51">
        <f t="shared" si="2"/>
        <v>0</v>
      </c>
      <c r="K86" s="138"/>
      <c r="L86" s="56"/>
      <c r="M86" s="56"/>
      <c r="N86" s="56"/>
      <c r="O86" s="56"/>
      <c r="P86" s="56"/>
      <c r="Q86" s="56"/>
      <c r="R86" s="56"/>
      <c r="S86" s="56"/>
      <c r="T86" s="56"/>
      <c r="U86" s="56"/>
      <c r="V86" s="56"/>
      <c r="W86" s="56"/>
      <c r="X86" s="56"/>
      <c r="Y86" s="56"/>
      <c r="Z86" s="56"/>
      <c r="AA86" s="56"/>
      <c r="AB86" s="56"/>
      <c r="AC86" s="56"/>
      <c r="AD86" s="56"/>
      <c r="AE86" s="56"/>
      <c r="AF86" s="56"/>
      <c r="AG86" s="56"/>
      <c r="AH86" s="51">
        <f>ROUND(AF86,-1)</f>
        <v>0</v>
      </c>
    </row>
    <row r="87" spans="1:34" ht="184.5" customHeight="1" x14ac:dyDescent="0.25">
      <c r="A87" s="71" t="s">
        <v>291</v>
      </c>
      <c r="B87" s="79" t="s">
        <v>244</v>
      </c>
      <c r="C87" s="80"/>
      <c r="D87" s="103"/>
      <c r="E87" s="96"/>
      <c r="F87" s="80">
        <f t="shared" si="0"/>
        <v>0</v>
      </c>
      <c r="G87" s="51"/>
      <c r="H87" s="60"/>
      <c r="I87" s="51">
        <f t="shared" si="1"/>
        <v>0</v>
      </c>
      <c r="J87" s="51">
        <f t="shared" si="2"/>
        <v>0</v>
      </c>
      <c r="K87" s="138"/>
      <c r="L87" s="56"/>
      <c r="M87" s="56"/>
      <c r="N87" s="56"/>
      <c r="O87" s="56"/>
      <c r="P87" s="56"/>
      <c r="Q87" s="56"/>
      <c r="R87" s="56"/>
      <c r="S87" s="56"/>
      <c r="T87" s="56"/>
      <c r="U87" s="56"/>
      <c r="V87" s="56"/>
      <c r="W87" s="56"/>
      <c r="X87" s="56"/>
      <c r="Y87" s="56"/>
      <c r="Z87" s="56"/>
      <c r="AA87" s="56"/>
      <c r="AB87" s="56"/>
      <c r="AC87" s="56"/>
      <c r="AD87" s="56"/>
      <c r="AE87" s="56"/>
      <c r="AF87" s="56"/>
      <c r="AG87" s="56"/>
      <c r="AH87" s="51">
        <f>ROUND(AF87,-1)</f>
        <v>0</v>
      </c>
    </row>
    <row r="88" spans="1:34" ht="35.1" customHeight="1" x14ac:dyDescent="0.25">
      <c r="A88" s="71" t="s">
        <v>292</v>
      </c>
      <c r="B88" s="79" t="s">
        <v>245</v>
      </c>
      <c r="C88" s="80" t="s">
        <v>47</v>
      </c>
      <c r="D88" s="103">
        <v>5000</v>
      </c>
      <c r="E88" s="96">
        <v>181.48</v>
      </c>
      <c r="F88" s="80">
        <f t="shared" si="0"/>
        <v>907400</v>
      </c>
      <c r="G88" s="51"/>
      <c r="H88" s="60"/>
      <c r="I88" s="51">
        <f t="shared" si="1"/>
        <v>199.62800000000001</v>
      </c>
      <c r="J88" s="51">
        <f t="shared" si="2"/>
        <v>998140.00000000012</v>
      </c>
      <c r="K88" s="138"/>
      <c r="L88" s="56"/>
      <c r="M88" s="56"/>
      <c r="N88" s="56"/>
      <c r="O88" s="56"/>
      <c r="P88" s="56"/>
      <c r="Q88" s="56"/>
      <c r="R88" s="56"/>
      <c r="S88" s="56"/>
      <c r="T88" s="51"/>
      <c r="U88" s="55"/>
      <c r="V88" s="51"/>
      <c r="W88" s="56"/>
      <c r="X88" s="56"/>
      <c r="Y88" s="56"/>
      <c r="Z88" s="56"/>
      <c r="AA88" s="56"/>
      <c r="AB88" s="56"/>
      <c r="AC88" s="56"/>
      <c r="AD88" s="56"/>
      <c r="AE88" s="56"/>
      <c r="AF88" s="56" t="e">
        <f>AVERAGE(G88,V88)</f>
        <v>#DIV/0!</v>
      </c>
      <c r="AG88" s="56"/>
      <c r="AH88" s="51" t="e">
        <f>ROUNDUP(AF88,-1)</f>
        <v>#DIV/0!</v>
      </c>
    </row>
    <row r="89" spans="1:34" ht="35.1" customHeight="1" x14ac:dyDescent="0.25">
      <c r="A89" s="71" t="s">
        <v>293</v>
      </c>
      <c r="B89" s="79" t="s">
        <v>246</v>
      </c>
      <c r="C89" s="80" t="s">
        <v>47</v>
      </c>
      <c r="D89" s="103">
        <v>50</v>
      </c>
      <c r="E89" s="96">
        <v>1326.2</v>
      </c>
      <c r="F89" s="80">
        <f t="shared" si="0"/>
        <v>66310</v>
      </c>
      <c r="G89" s="51"/>
      <c r="H89" s="61"/>
      <c r="I89" s="51">
        <f t="shared" si="1"/>
        <v>1458.8200000000002</v>
      </c>
      <c r="J89" s="51">
        <f t="shared" si="2"/>
        <v>72941.000000000015</v>
      </c>
      <c r="K89" s="138"/>
      <c r="L89" s="56"/>
      <c r="M89" s="56"/>
      <c r="N89" s="56"/>
      <c r="O89" s="56"/>
      <c r="P89" s="56"/>
      <c r="Q89" s="56"/>
      <c r="R89" s="56"/>
      <c r="S89" s="56"/>
      <c r="T89" s="56"/>
      <c r="U89" s="55"/>
      <c r="V89" s="51"/>
      <c r="W89" s="56"/>
      <c r="X89" s="56"/>
      <c r="Y89" s="56"/>
      <c r="Z89" s="56"/>
      <c r="AA89" s="56"/>
      <c r="AB89" s="56"/>
      <c r="AC89" s="56"/>
      <c r="AD89" s="56"/>
      <c r="AE89" s="56"/>
      <c r="AF89" s="56">
        <f>V89</f>
        <v>0</v>
      </c>
      <c r="AG89" s="56"/>
      <c r="AH89" s="51">
        <f t="shared" ref="AH89:AH102" si="7">ROUND(AF89,-1)</f>
        <v>0</v>
      </c>
    </row>
    <row r="90" spans="1:34" s="63" customFormat="1" ht="29.25" customHeight="1" x14ac:dyDescent="0.25">
      <c r="A90" s="259" t="s">
        <v>247</v>
      </c>
      <c r="B90" s="260"/>
      <c r="C90" s="80"/>
      <c r="D90" s="104"/>
      <c r="E90" s="96"/>
      <c r="F90" s="80">
        <f t="shared" ref="F90:F110" si="8">D90*E90</f>
        <v>0</v>
      </c>
      <c r="G90" s="51"/>
      <c r="H90" s="62"/>
      <c r="I90" s="51">
        <f t="shared" ref="I90:I109" si="9">E90*1.1</f>
        <v>0</v>
      </c>
      <c r="J90" s="51">
        <f t="shared" ref="J90:J109" si="10">I90*D90</f>
        <v>0</v>
      </c>
      <c r="K90" s="138"/>
      <c r="L90" s="56"/>
      <c r="M90" s="56"/>
      <c r="N90" s="56"/>
      <c r="O90" s="56"/>
      <c r="P90" s="56"/>
      <c r="Q90" s="56"/>
      <c r="R90" s="56"/>
      <c r="S90" s="56"/>
      <c r="T90" s="56"/>
      <c r="U90" s="56"/>
      <c r="V90" s="56"/>
      <c r="W90" s="56"/>
      <c r="X90" s="56"/>
      <c r="Y90" s="56"/>
      <c r="Z90" s="56"/>
      <c r="AA90" s="56"/>
      <c r="AB90" s="56"/>
      <c r="AC90" s="56"/>
      <c r="AD90" s="56"/>
      <c r="AE90" s="56"/>
      <c r="AF90" s="56"/>
      <c r="AG90" s="56"/>
      <c r="AH90" s="51">
        <f t="shared" si="7"/>
        <v>0</v>
      </c>
    </row>
    <row r="91" spans="1:34" s="64" customFormat="1" ht="39.75" customHeight="1" x14ac:dyDescent="0.2">
      <c r="A91" s="71" t="s">
        <v>321</v>
      </c>
      <c r="B91" s="81" t="s">
        <v>132</v>
      </c>
      <c r="C91" s="80"/>
      <c r="D91" s="104"/>
      <c r="E91" s="96"/>
      <c r="F91" s="80">
        <f t="shared" si="8"/>
        <v>0</v>
      </c>
      <c r="G91" s="51"/>
      <c r="H91" s="62"/>
      <c r="I91" s="51">
        <f t="shared" si="9"/>
        <v>0</v>
      </c>
      <c r="J91" s="51">
        <f t="shared" si="10"/>
        <v>0</v>
      </c>
      <c r="K91" s="138"/>
      <c r="L91" s="56"/>
      <c r="M91" s="56"/>
      <c r="N91" s="56"/>
      <c r="O91" s="56"/>
      <c r="P91" s="56"/>
      <c r="Q91" s="56"/>
      <c r="R91" s="56"/>
      <c r="S91" s="56"/>
      <c r="T91" s="56"/>
      <c r="U91" s="56"/>
      <c r="V91" s="56"/>
      <c r="W91" s="56"/>
      <c r="X91" s="56"/>
      <c r="Y91" s="56"/>
      <c r="Z91" s="56"/>
      <c r="AA91" s="56"/>
      <c r="AB91" s="56"/>
      <c r="AC91" s="56"/>
      <c r="AD91" s="56"/>
      <c r="AE91" s="56"/>
      <c r="AF91" s="56"/>
      <c r="AG91" s="56"/>
      <c r="AH91" s="51">
        <f t="shared" si="7"/>
        <v>0</v>
      </c>
    </row>
    <row r="92" spans="1:34" s="64" customFormat="1" ht="49.5" customHeight="1" x14ac:dyDescent="0.2">
      <c r="A92" s="71" t="s">
        <v>322</v>
      </c>
      <c r="B92" s="79" t="s">
        <v>371</v>
      </c>
      <c r="C92" s="80" t="s">
        <v>17</v>
      </c>
      <c r="D92" s="103">
        <v>6000</v>
      </c>
      <c r="E92" s="138">
        <v>35</v>
      </c>
      <c r="F92" s="80">
        <f t="shared" si="8"/>
        <v>210000</v>
      </c>
      <c r="G92" s="51"/>
      <c r="H92" s="62"/>
      <c r="I92" s="51">
        <f t="shared" si="9"/>
        <v>38.5</v>
      </c>
      <c r="J92" s="51">
        <f t="shared" si="10"/>
        <v>231000</v>
      </c>
      <c r="K92" s="138">
        <v>35</v>
      </c>
      <c r="L92" s="56"/>
      <c r="M92" s="56"/>
      <c r="N92" s="56"/>
      <c r="O92" s="56"/>
      <c r="P92" s="56"/>
      <c r="Q92" s="56"/>
      <c r="R92" s="56"/>
      <c r="S92" s="56"/>
      <c r="T92" s="56"/>
      <c r="U92" s="56"/>
      <c r="V92" s="56"/>
      <c r="W92" s="56"/>
      <c r="X92" s="56"/>
      <c r="Y92" s="56"/>
      <c r="Z92" s="56"/>
      <c r="AA92" s="56"/>
      <c r="AB92" s="56"/>
      <c r="AC92" s="56"/>
      <c r="AD92" s="56"/>
      <c r="AE92" s="56"/>
      <c r="AF92" s="56"/>
      <c r="AG92" s="56"/>
      <c r="AH92" s="51">
        <f t="shared" si="7"/>
        <v>0</v>
      </c>
    </row>
    <row r="93" spans="1:34" s="64" customFormat="1" ht="37.5" customHeight="1" x14ac:dyDescent="0.2">
      <c r="A93" s="257" t="s">
        <v>323</v>
      </c>
      <c r="B93" s="81" t="s">
        <v>248</v>
      </c>
      <c r="C93" s="80"/>
      <c r="D93" s="104"/>
      <c r="E93" s="96"/>
      <c r="F93" s="80">
        <f t="shared" si="8"/>
        <v>0</v>
      </c>
      <c r="G93" s="51"/>
      <c r="H93" s="62"/>
      <c r="I93" s="51">
        <f t="shared" si="9"/>
        <v>0</v>
      </c>
      <c r="J93" s="51">
        <f t="shared" si="10"/>
        <v>0</v>
      </c>
      <c r="K93" s="138">
        <v>0</v>
      </c>
      <c r="L93" s="56"/>
      <c r="M93" s="56"/>
      <c r="N93" s="56"/>
      <c r="O93" s="56"/>
      <c r="P93" s="56"/>
      <c r="Q93" s="56"/>
      <c r="R93" s="56"/>
      <c r="S93" s="56"/>
      <c r="T93" s="56"/>
      <c r="U93" s="56"/>
      <c r="V93" s="56"/>
      <c r="W93" s="56"/>
      <c r="X93" s="56"/>
      <c r="Y93" s="56"/>
      <c r="Z93" s="56"/>
      <c r="AA93" s="56"/>
      <c r="AB93" s="56"/>
      <c r="AC93" s="56"/>
      <c r="AD93" s="56"/>
      <c r="AE93" s="56"/>
      <c r="AF93" s="56"/>
      <c r="AG93" s="56"/>
      <c r="AH93" s="51">
        <f t="shared" si="7"/>
        <v>0</v>
      </c>
    </row>
    <row r="94" spans="1:34" s="64" customFormat="1" ht="38.25" customHeight="1" x14ac:dyDescent="0.2">
      <c r="A94" s="261"/>
      <c r="B94" s="81" t="s">
        <v>249</v>
      </c>
      <c r="C94" s="80"/>
      <c r="D94" s="104"/>
      <c r="E94" s="96"/>
      <c r="F94" s="80">
        <f t="shared" si="8"/>
        <v>0</v>
      </c>
      <c r="G94" s="51"/>
      <c r="H94" s="62"/>
      <c r="I94" s="51">
        <f t="shared" si="9"/>
        <v>0</v>
      </c>
      <c r="J94" s="51">
        <f t="shared" si="10"/>
        <v>0</v>
      </c>
      <c r="K94" s="138"/>
      <c r="L94" s="56"/>
      <c r="M94" s="56"/>
      <c r="N94" s="56"/>
      <c r="O94" s="56"/>
      <c r="P94" s="56"/>
      <c r="Q94" s="56"/>
      <c r="R94" s="56"/>
      <c r="S94" s="56"/>
      <c r="T94" s="56"/>
      <c r="U94" s="56"/>
      <c r="V94" s="56"/>
      <c r="W94" s="56"/>
      <c r="X94" s="56"/>
      <c r="Y94" s="56"/>
      <c r="Z94" s="56"/>
      <c r="AA94" s="56"/>
      <c r="AB94" s="56"/>
      <c r="AC94" s="56"/>
      <c r="AD94" s="56"/>
      <c r="AE94" s="56"/>
      <c r="AF94" s="56"/>
      <c r="AG94" s="56"/>
      <c r="AH94" s="51">
        <f t="shared" si="7"/>
        <v>0</v>
      </c>
    </row>
    <row r="95" spans="1:34" s="64" customFormat="1" ht="81.75" customHeight="1" x14ac:dyDescent="0.2">
      <c r="A95" s="258"/>
      <c r="B95" s="79" t="s">
        <v>370</v>
      </c>
      <c r="C95" s="80"/>
      <c r="D95" s="103"/>
      <c r="E95" s="96"/>
      <c r="F95" s="80">
        <f t="shared" si="8"/>
        <v>0</v>
      </c>
      <c r="G95" s="51"/>
      <c r="H95" s="62"/>
      <c r="I95" s="51">
        <f t="shared" si="9"/>
        <v>0</v>
      </c>
      <c r="J95" s="51">
        <f t="shared" si="10"/>
        <v>0</v>
      </c>
      <c r="K95" s="138"/>
      <c r="L95" s="56"/>
      <c r="M95" s="56"/>
      <c r="N95" s="56"/>
      <c r="O95" s="56"/>
      <c r="P95" s="56"/>
      <c r="Q95" s="56"/>
      <c r="R95" s="56"/>
      <c r="S95" s="56"/>
      <c r="T95" s="56"/>
      <c r="U95" s="56"/>
      <c r="V95" s="56"/>
      <c r="W95" s="56"/>
      <c r="X95" s="56"/>
      <c r="Y95" s="56"/>
      <c r="Z95" s="56"/>
      <c r="AA95" s="56"/>
      <c r="AB95" s="56"/>
      <c r="AC95" s="56"/>
      <c r="AD95" s="56"/>
      <c r="AE95" s="56"/>
      <c r="AF95" s="56"/>
      <c r="AG95" s="56"/>
      <c r="AH95" s="51">
        <f t="shared" si="7"/>
        <v>0</v>
      </c>
    </row>
    <row r="96" spans="1:34" s="64" customFormat="1" ht="34.5" customHeight="1" x14ac:dyDescent="0.2">
      <c r="A96" s="71" t="s">
        <v>324</v>
      </c>
      <c r="B96" s="79" t="s">
        <v>264</v>
      </c>
      <c r="C96" s="80" t="s">
        <v>17</v>
      </c>
      <c r="D96" s="103">
        <v>11000</v>
      </c>
      <c r="E96" s="138">
        <v>85</v>
      </c>
      <c r="F96" s="80">
        <f t="shared" si="8"/>
        <v>935000</v>
      </c>
      <c r="G96" s="51"/>
      <c r="H96" s="62"/>
      <c r="I96" s="51">
        <f t="shared" si="9"/>
        <v>93.500000000000014</v>
      </c>
      <c r="J96" s="51">
        <f t="shared" si="10"/>
        <v>1028500.0000000001</v>
      </c>
      <c r="K96" s="138">
        <v>85</v>
      </c>
      <c r="L96" s="56"/>
      <c r="M96" s="56"/>
      <c r="N96" s="56"/>
      <c r="O96" s="56"/>
      <c r="P96" s="56"/>
      <c r="Q96" s="56"/>
      <c r="R96" s="56"/>
      <c r="S96" s="56"/>
      <c r="T96" s="56"/>
      <c r="U96" s="56"/>
      <c r="V96" s="56"/>
      <c r="W96" s="56"/>
      <c r="X96" s="56"/>
      <c r="Y96" s="56"/>
      <c r="Z96" s="56"/>
      <c r="AA96" s="56"/>
      <c r="AB96" s="56"/>
      <c r="AC96" s="56"/>
      <c r="AD96" s="56"/>
      <c r="AE96" s="56"/>
      <c r="AF96" s="56"/>
      <c r="AG96" s="56"/>
      <c r="AH96" s="51">
        <f t="shared" si="7"/>
        <v>0</v>
      </c>
    </row>
    <row r="97" spans="1:34" s="64" customFormat="1" ht="34.5" customHeight="1" x14ac:dyDescent="0.2">
      <c r="A97" s="71" t="s">
        <v>325</v>
      </c>
      <c r="B97" s="79" t="s">
        <v>265</v>
      </c>
      <c r="C97" s="80" t="s">
        <v>17</v>
      </c>
      <c r="D97" s="103">
        <v>11000</v>
      </c>
      <c r="E97" s="138">
        <v>90</v>
      </c>
      <c r="F97" s="80">
        <f t="shared" si="8"/>
        <v>990000</v>
      </c>
      <c r="G97" s="51"/>
      <c r="H97" s="62"/>
      <c r="I97" s="51">
        <f t="shared" si="9"/>
        <v>99.000000000000014</v>
      </c>
      <c r="J97" s="51">
        <f t="shared" si="10"/>
        <v>1089000.0000000002</v>
      </c>
      <c r="K97" s="138">
        <v>90</v>
      </c>
      <c r="L97" s="56"/>
      <c r="M97" s="56"/>
      <c r="N97" s="56"/>
      <c r="O97" s="56"/>
      <c r="P97" s="56"/>
      <c r="Q97" s="56"/>
      <c r="R97" s="56"/>
      <c r="S97" s="56"/>
      <c r="T97" s="56"/>
      <c r="U97" s="56"/>
      <c r="V97" s="56"/>
      <c r="W97" s="56"/>
      <c r="X97" s="56"/>
      <c r="Y97" s="56"/>
      <c r="Z97" s="56"/>
      <c r="AA97" s="56"/>
      <c r="AB97" s="56"/>
      <c r="AC97" s="56"/>
      <c r="AD97" s="56"/>
      <c r="AE97" s="56"/>
      <c r="AF97" s="56"/>
      <c r="AG97" s="56"/>
      <c r="AH97" s="51">
        <f t="shared" si="7"/>
        <v>0</v>
      </c>
    </row>
    <row r="98" spans="1:34" s="64" customFormat="1" ht="100.5" customHeight="1" x14ac:dyDescent="0.2">
      <c r="A98" s="71" t="s">
        <v>331</v>
      </c>
      <c r="B98" s="79" t="s">
        <v>250</v>
      </c>
      <c r="C98" s="80"/>
      <c r="D98" s="103"/>
      <c r="E98" s="96"/>
      <c r="F98" s="80">
        <f t="shared" si="8"/>
        <v>0</v>
      </c>
      <c r="G98" s="51"/>
      <c r="H98" s="62"/>
      <c r="I98" s="51">
        <f t="shared" si="9"/>
        <v>0</v>
      </c>
      <c r="J98" s="51">
        <f t="shared" si="10"/>
        <v>0</v>
      </c>
      <c r="K98" s="138"/>
      <c r="L98" s="56"/>
      <c r="M98" s="56"/>
      <c r="N98" s="56"/>
      <c r="O98" s="56"/>
      <c r="P98" s="56"/>
      <c r="Q98" s="56"/>
      <c r="R98" s="56"/>
      <c r="S98" s="56"/>
      <c r="T98" s="56"/>
      <c r="U98" s="56"/>
      <c r="V98" s="56"/>
      <c r="W98" s="56"/>
      <c r="X98" s="56"/>
      <c r="Y98" s="56"/>
      <c r="Z98" s="56"/>
      <c r="AA98" s="56"/>
      <c r="AB98" s="56"/>
      <c r="AC98" s="56"/>
      <c r="AD98" s="56"/>
      <c r="AE98" s="56"/>
      <c r="AF98" s="56"/>
      <c r="AG98" s="56"/>
      <c r="AH98" s="51">
        <f t="shared" si="7"/>
        <v>0</v>
      </c>
    </row>
    <row r="99" spans="1:34" s="64" customFormat="1" ht="30" customHeight="1" x14ac:dyDescent="0.3">
      <c r="A99" s="71" t="s">
        <v>332</v>
      </c>
      <c r="B99" s="79" t="s">
        <v>251</v>
      </c>
      <c r="C99" s="80" t="s">
        <v>148</v>
      </c>
      <c r="D99" s="103">
        <v>1000</v>
      </c>
      <c r="E99" s="140">
        <v>805</v>
      </c>
      <c r="F99" s="80">
        <f t="shared" si="8"/>
        <v>805000</v>
      </c>
      <c r="H99" s="103">
        <v>3000</v>
      </c>
      <c r="I99" s="51">
        <f t="shared" si="9"/>
        <v>885.50000000000011</v>
      </c>
      <c r="J99" s="51">
        <f t="shared" si="10"/>
        <v>885500.00000000012</v>
      </c>
      <c r="K99" s="140">
        <v>805</v>
      </c>
      <c r="L99" s="262" t="s">
        <v>363</v>
      </c>
      <c r="M99" s="56"/>
      <c r="N99" s="56"/>
      <c r="O99" s="56"/>
      <c r="P99" s="56"/>
      <c r="Q99" s="56"/>
      <c r="R99" s="56"/>
      <c r="S99" s="56"/>
      <c r="T99" s="56"/>
      <c r="U99" s="56"/>
      <c r="V99" s="56"/>
      <c r="W99" s="56"/>
      <c r="X99" s="56"/>
      <c r="Y99" s="56"/>
      <c r="Z99" s="56"/>
      <c r="AA99" s="56"/>
      <c r="AB99" s="56"/>
      <c r="AC99" s="56"/>
      <c r="AD99" s="56"/>
      <c r="AE99" s="56"/>
      <c r="AF99" s="56"/>
      <c r="AG99" s="56"/>
      <c r="AH99" s="51">
        <f t="shared" si="7"/>
        <v>0</v>
      </c>
    </row>
    <row r="100" spans="1:34" s="64" customFormat="1" ht="27" customHeight="1" x14ac:dyDescent="0.3">
      <c r="A100" s="71" t="s">
        <v>333</v>
      </c>
      <c r="B100" s="79" t="s">
        <v>252</v>
      </c>
      <c r="C100" s="80" t="s">
        <v>148</v>
      </c>
      <c r="D100" s="103">
        <v>5000</v>
      </c>
      <c r="E100" s="96">
        <v>355.98</v>
      </c>
      <c r="F100" s="80">
        <f t="shared" si="8"/>
        <v>1779900</v>
      </c>
      <c r="H100" s="105">
        <v>13000</v>
      </c>
      <c r="I100" s="51">
        <f t="shared" si="9"/>
        <v>391.57800000000003</v>
      </c>
      <c r="J100" s="51">
        <f t="shared" si="10"/>
        <v>1957890.0000000002</v>
      </c>
      <c r="K100" s="140"/>
      <c r="L100" s="262"/>
      <c r="M100" s="56"/>
      <c r="N100" s="56"/>
      <c r="O100" s="56"/>
      <c r="P100" s="56"/>
      <c r="Q100" s="56"/>
      <c r="R100" s="56"/>
      <c r="S100" s="56"/>
      <c r="T100" s="56"/>
      <c r="U100" s="56"/>
      <c r="V100" s="56"/>
      <c r="W100" s="56"/>
      <c r="X100" s="56"/>
      <c r="Y100" s="56"/>
      <c r="Z100" s="56"/>
      <c r="AA100" s="56"/>
      <c r="AB100" s="56"/>
      <c r="AC100" s="56"/>
      <c r="AD100" s="56"/>
      <c r="AE100" s="56"/>
      <c r="AF100" s="56"/>
      <c r="AG100" s="56"/>
      <c r="AH100" s="51">
        <f t="shared" si="7"/>
        <v>0</v>
      </c>
    </row>
    <row r="101" spans="1:34" s="64" customFormat="1" ht="27" customHeight="1" x14ac:dyDescent="0.3">
      <c r="A101" s="71" t="s">
        <v>334</v>
      </c>
      <c r="B101" s="79" t="s">
        <v>253</v>
      </c>
      <c r="C101" s="80" t="s">
        <v>148</v>
      </c>
      <c r="D101" s="103">
        <v>6000</v>
      </c>
      <c r="E101" s="140">
        <v>637</v>
      </c>
      <c r="F101" s="80">
        <f t="shared" si="8"/>
        <v>3822000</v>
      </c>
      <c r="H101" s="103">
        <v>2000</v>
      </c>
      <c r="I101" s="51">
        <f t="shared" si="9"/>
        <v>700.7</v>
      </c>
      <c r="J101" s="51">
        <f t="shared" si="10"/>
        <v>4204200</v>
      </c>
      <c r="K101" s="140">
        <v>637</v>
      </c>
      <c r="L101" s="262"/>
      <c r="M101" s="56"/>
      <c r="N101" s="56"/>
      <c r="O101" s="56"/>
      <c r="P101" s="56"/>
      <c r="Q101" s="56"/>
      <c r="R101" s="56"/>
      <c r="S101" s="56"/>
      <c r="T101" s="56"/>
      <c r="U101" s="56"/>
      <c r="V101" s="56"/>
      <c r="W101" s="56"/>
      <c r="X101" s="56"/>
      <c r="Y101" s="56"/>
      <c r="Z101" s="56"/>
      <c r="AA101" s="56"/>
      <c r="AB101" s="56"/>
      <c r="AC101" s="56"/>
      <c r="AD101" s="56"/>
      <c r="AE101" s="56"/>
      <c r="AF101" s="56"/>
      <c r="AG101" s="56"/>
      <c r="AH101" s="51">
        <f t="shared" si="7"/>
        <v>0</v>
      </c>
    </row>
    <row r="102" spans="1:34" s="64" customFormat="1" ht="33" customHeight="1" x14ac:dyDescent="0.2">
      <c r="A102" s="71" t="s">
        <v>335</v>
      </c>
      <c r="B102" s="79" t="s">
        <v>254</v>
      </c>
      <c r="C102" s="80" t="s">
        <v>148</v>
      </c>
      <c r="D102" s="103">
        <v>1000</v>
      </c>
      <c r="E102" s="96">
        <v>251.28</v>
      </c>
      <c r="F102" s="80">
        <f t="shared" si="8"/>
        <v>251280</v>
      </c>
      <c r="G102" s="65"/>
      <c r="H102" s="106">
        <v>3000</v>
      </c>
      <c r="I102" s="51">
        <f t="shared" si="9"/>
        <v>276.40800000000002</v>
      </c>
      <c r="J102" s="51">
        <f t="shared" si="10"/>
        <v>276408</v>
      </c>
      <c r="K102" s="138"/>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1">
        <f t="shared" si="7"/>
        <v>0</v>
      </c>
    </row>
    <row r="103" spans="1:34" s="64" customFormat="1" ht="33" customHeight="1" x14ac:dyDescent="0.2">
      <c r="A103" s="71" t="s">
        <v>374</v>
      </c>
      <c r="B103" s="132" t="s">
        <v>356</v>
      </c>
      <c r="C103" s="80"/>
      <c r="D103" s="103"/>
      <c r="E103" s="96"/>
      <c r="F103" s="80"/>
      <c r="G103" s="65"/>
      <c r="H103" s="106"/>
      <c r="I103" s="51"/>
      <c r="J103" s="51"/>
      <c r="K103" s="138"/>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1"/>
    </row>
    <row r="104" spans="1:34" s="64" customFormat="1" ht="33" customHeight="1" x14ac:dyDescent="0.2">
      <c r="A104" s="71" t="s">
        <v>375</v>
      </c>
      <c r="B104" s="133" t="s">
        <v>357</v>
      </c>
      <c r="C104" s="80" t="s">
        <v>358</v>
      </c>
      <c r="D104" s="103">
        <v>500</v>
      </c>
      <c r="E104" s="144">
        <v>1500</v>
      </c>
      <c r="F104" s="80">
        <f t="shared" si="8"/>
        <v>750000</v>
      </c>
      <c r="G104" s="65"/>
      <c r="H104" s="106"/>
      <c r="I104" s="51"/>
      <c r="J104" s="51"/>
      <c r="K104" s="138"/>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1"/>
    </row>
    <row r="105" spans="1:34" s="64" customFormat="1" x14ac:dyDescent="0.2">
      <c r="A105" s="71" t="s">
        <v>376</v>
      </c>
      <c r="B105" s="132" t="s">
        <v>359</v>
      </c>
      <c r="C105" s="80"/>
      <c r="D105" s="103"/>
      <c r="E105" s="96"/>
      <c r="F105" s="80"/>
      <c r="G105" s="65"/>
      <c r="H105" s="106"/>
      <c r="I105" s="51"/>
      <c r="J105" s="51"/>
      <c r="K105" s="138"/>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1"/>
    </row>
    <row r="106" spans="1:34" s="64" customFormat="1" ht="33" customHeight="1" x14ac:dyDescent="0.2">
      <c r="A106" s="71" t="s">
        <v>377</v>
      </c>
      <c r="B106" s="133" t="s">
        <v>362</v>
      </c>
      <c r="C106" s="80" t="s">
        <v>148</v>
      </c>
      <c r="D106" s="103">
        <v>35000</v>
      </c>
      <c r="E106" s="96">
        <v>50</v>
      </c>
      <c r="F106" s="80">
        <f>D106*E106</f>
        <v>1750000</v>
      </c>
      <c r="G106" s="65"/>
      <c r="H106" s="106"/>
      <c r="I106" s="51"/>
      <c r="J106" s="51"/>
      <c r="K106" s="138"/>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1"/>
    </row>
    <row r="107" spans="1:34" s="64" customFormat="1" ht="33" customHeight="1" x14ac:dyDescent="0.2">
      <c r="A107" s="71" t="s">
        <v>378</v>
      </c>
      <c r="B107" s="132" t="s">
        <v>372</v>
      </c>
      <c r="C107" s="80"/>
      <c r="D107" s="103"/>
      <c r="E107" s="96"/>
      <c r="F107" s="80"/>
      <c r="G107" s="65"/>
      <c r="H107" s="106"/>
      <c r="I107" s="51"/>
      <c r="J107" s="51"/>
      <c r="K107" s="138"/>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1"/>
    </row>
    <row r="108" spans="1:34" s="64" customFormat="1" ht="75" x14ac:dyDescent="0.2">
      <c r="A108" s="71" t="s">
        <v>379</v>
      </c>
      <c r="B108" s="133" t="s">
        <v>373</v>
      </c>
      <c r="C108" s="80" t="s">
        <v>148</v>
      </c>
      <c r="D108" s="103">
        <v>23000</v>
      </c>
      <c r="E108" s="144">
        <v>100</v>
      </c>
      <c r="F108" s="80">
        <f>D108*E108</f>
        <v>2300000</v>
      </c>
      <c r="G108" s="65"/>
      <c r="H108" s="106"/>
      <c r="I108" s="51"/>
      <c r="J108" s="51"/>
      <c r="K108" s="138"/>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1"/>
    </row>
    <row r="109" spans="1:34" s="64" customFormat="1" ht="24.75" customHeight="1" x14ac:dyDescent="0.2">
      <c r="A109" s="71"/>
      <c r="B109" s="79" t="s">
        <v>256</v>
      </c>
      <c r="C109" s="82"/>
      <c r="D109" s="103"/>
      <c r="E109" s="80"/>
      <c r="F109" s="80">
        <f t="shared" si="8"/>
        <v>0</v>
      </c>
      <c r="G109" s="65"/>
      <c r="H109" s="103">
        <v>500</v>
      </c>
      <c r="I109" s="51">
        <f t="shared" si="9"/>
        <v>0</v>
      </c>
      <c r="J109" s="51">
        <f t="shared" si="10"/>
        <v>0</v>
      </c>
      <c r="K109" s="138"/>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1">
        <f>ROUND(AF109,-1)</f>
        <v>0</v>
      </c>
    </row>
    <row r="110" spans="1:34" s="64" customFormat="1" ht="174" customHeight="1" thickBot="1" x14ac:dyDescent="0.25">
      <c r="A110" s="87"/>
      <c r="B110" s="88" t="s">
        <v>257</v>
      </c>
      <c r="C110" s="82"/>
      <c r="D110" s="107"/>
      <c r="E110" s="80"/>
      <c r="F110" s="80">
        <f t="shared" si="8"/>
        <v>0</v>
      </c>
      <c r="G110" s="65"/>
      <c r="H110" s="65"/>
      <c r="I110" s="56"/>
      <c r="J110" s="56"/>
      <c r="K110" s="138"/>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1">
        <f>ROUND(AF110,-1)</f>
        <v>0</v>
      </c>
    </row>
    <row r="111" spans="1:34" s="64" customFormat="1" ht="26.1" customHeight="1" thickBot="1" x14ac:dyDescent="0.25">
      <c r="A111" s="255" t="s">
        <v>258</v>
      </c>
      <c r="B111" s="256"/>
      <c r="C111" s="78"/>
      <c r="D111" s="102"/>
      <c r="E111" s="78"/>
      <c r="F111" s="113">
        <f>SUM(F5:F110)</f>
        <v>88438237.700000003</v>
      </c>
      <c r="G111" s="65"/>
      <c r="H111" s="65"/>
      <c r="I111" s="65"/>
      <c r="J111" s="113">
        <f>SUM(J5:J110)</f>
        <v>92002061.469999999</v>
      </c>
      <c r="K111" s="141"/>
      <c r="L111" s="65"/>
      <c r="M111" s="65"/>
      <c r="N111" s="65"/>
      <c r="O111" s="65"/>
      <c r="P111" s="65"/>
      <c r="Q111" s="65"/>
      <c r="R111" s="65"/>
      <c r="S111" s="65"/>
      <c r="T111" s="65"/>
      <c r="U111" s="65"/>
      <c r="V111" s="65"/>
      <c r="W111" s="65"/>
      <c r="X111" s="65"/>
      <c r="Y111" s="65"/>
      <c r="Z111" s="65"/>
    </row>
    <row r="112" spans="1:34" s="64" customFormat="1" ht="24" customHeight="1" thickBot="1" x14ac:dyDescent="0.35">
      <c r="A112" s="255" t="s">
        <v>259</v>
      </c>
      <c r="B112" s="256"/>
      <c r="C112" s="78"/>
      <c r="D112" s="102"/>
      <c r="E112" s="78"/>
      <c r="F112" s="113">
        <f>F111*18%</f>
        <v>15918882.786</v>
      </c>
      <c r="J112" s="113">
        <f>J111*18%</f>
        <v>16560371.064599998</v>
      </c>
      <c r="K112" s="140"/>
    </row>
    <row r="113" spans="1:11" s="66" customFormat="1" ht="24" customHeight="1" thickBot="1" x14ac:dyDescent="0.35">
      <c r="A113" s="255" t="s">
        <v>260</v>
      </c>
      <c r="B113" s="256"/>
      <c r="C113" s="78"/>
      <c r="D113" s="102"/>
      <c r="E113" s="78"/>
      <c r="F113" s="113">
        <f>F111+F112</f>
        <v>104357120.486</v>
      </c>
      <c r="J113" s="113">
        <f>J111+J112</f>
        <v>108562432.53459999</v>
      </c>
      <c r="K113" s="142"/>
    </row>
    <row r="114" spans="1:11" ht="32.450000000000003" customHeight="1" x14ac:dyDescent="0.25">
      <c r="A114" s="89"/>
      <c r="B114" s="90"/>
      <c r="C114" s="91"/>
      <c r="D114" s="109"/>
      <c r="E114" s="91"/>
      <c r="F114" s="91"/>
    </row>
    <row r="115" spans="1:11" ht="33.6" customHeight="1" thickBot="1" x14ac:dyDescent="0.3">
      <c r="A115" s="92"/>
      <c r="B115" s="93"/>
      <c r="C115" s="91"/>
      <c r="D115" s="109"/>
      <c r="E115" s="91"/>
      <c r="F115" s="91"/>
    </row>
    <row r="119" spans="1:11" ht="37.5" x14ac:dyDescent="0.25">
      <c r="B119" s="67"/>
      <c r="C119" s="67"/>
      <c r="D119" s="127" t="s">
        <v>346</v>
      </c>
      <c r="E119" s="67"/>
      <c r="F119" s="128">
        <v>12000000</v>
      </c>
    </row>
    <row r="120" spans="1:11" x14ac:dyDescent="0.25">
      <c r="B120" s="67"/>
      <c r="C120" s="67"/>
      <c r="D120" s="110"/>
      <c r="E120" s="67"/>
      <c r="F120" s="67"/>
    </row>
    <row r="121" spans="1:11" x14ac:dyDescent="0.25">
      <c r="B121" s="68"/>
      <c r="C121" s="68"/>
      <c r="D121" s="111"/>
      <c r="E121" s="68"/>
      <c r="F121" s="68"/>
    </row>
  </sheetData>
  <mergeCells count="25">
    <mergeCell ref="R25:R29"/>
    <mergeCell ref="A48:A52"/>
    <mergeCell ref="A1:F1"/>
    <mergeCell ref="A4:B4"/>
    <mergeCell ref="A5:A23"/>
    <mergeCell ref="A30:A31"/>
    <mergeCell ref="A39:A40"/>
    <mergeCell ref="A42:A43"/>
    <mergeCell ref="L44:L46"/>
    <mergeCell ref="A47:B47"/>
    <mergeCell ref="L99:L101"/>
    <mergeCell ref="G54:G56"/>
    <mergeCell ref="A58:A59"/>
    <mergeCell ref="L59:L61"/>
    <mergeCell ref="A60:A61"/>
    <mergeCell ref="A65:A66"/>
    <mergeCell ref="A71:B71"/>
    <mergeCell ref="A111:B111"/>
    <mergeCell ref="A112:B112"/>
    <mergeCell ref="A113:B113"/>
    <mergeCell ref="A75:A76"/>
    <mergeCell ref="A80:A81"/>
    <mergeCell ref="A86:B86"/>
    <mergeCell ref="A90:B90"/>
    <mergeCell ref="A93:A9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132"/>
  <sheetViews>
    <sheetView topLeftCell="A2" zoomScale="60" zoomScaleNormal="60" zoomScaleSheetLayoutView="50" workbookViewId="0">
      <pane xSplit="2" ySplit="2" topLeftCell="C24" activePane="bottomRight" state="frozen"/>
      <selection activeCell="A2" sqref="A2"/>
      <selection pane="topRight" activeCell="C2" sqref="C2"/>
      <selection pane="bottomLeft" activeCell="A4" sqref="A4"/>
      <selection pane="bottomRight" activeCell="D32" sqref="D32:D34"/>
    </sheetView>
  </sheetViews>
  <sheetFormatPr defaultColWidth="8" defaultRowHeight="20.25" x14ac:dyDescent="0.25"/>
  <cols>
    <col min="1" max="1" width="18.5703125" style="47" customWidth="1"/>
    <col min="2" max="2" width="184.28515625" style="69" customWidth="1"/>
    <col min="3" max="3" width="19.7109375" style="69" customWidth="1"/>
    <col min="4" max="4" width="15.7109375" style="112" customWidth="1"/>
    <col min="5" max="5" width="15.7109375" style="69" customWidth="1"/>
    <col min="6" max="6" width="21.7109375" style="69" bestFit="1" customWidth="1"/>
    <col min="7" max="8" width="14.28515625" style="47" hidden="1" customWidth="1"/>
    <col min="9" max="9" width="12.42578125" style="47" hidden="1" customWidth="1"/>
    <col min="10" max="10" width="21.7109375" style="47" hidden="1" customWidth="1"/>
    <col min="11" max="11" width="20.7109375" style="134" customWidth="1"/>
    <col min="12" max="12" width="14.42578125" style="47" customWidth="1"/>
    <col min="13" max="13" width="22.28515625" style="47" customWidth="1"/>
    <col min="14" max="15" width="20" style="47" customWidth="1"/>
    <col min="16" max="16" width="23.28515625" style="47" bestFit="1" customWidth="1"/>
    <col min="17" max="18" width="23.28515625" style="47" customWidth="1"/>
    <col min="19" max="19" width="14.28515625" style="47" hidden="1" customWidth="1"/>
    <col min="20" max="20" width="14.42578125" style="47" hidden="1" customWidth="1"/>
    <col min="21" max="21" width="20" style="47" hidden="1" customWidth="1"/>
    <col min="22" max="22" width="0" style="47" hidden="1" customWidth="1"/>
    <col min="23" max="23" width="32.85546875" style="47" customWidth="1"/>
    <col min="24" max="24" width="10.5703125" style="47" customWidth="1"/>
    <col min="25" max="25" width="14.28515625" style="47" customWidth="1"/>
    <col min="26" max="26" width="13.5703125" style="47" customWidth="1"/>
    <col min="27" max="28" width="14.28515625" style="47" customWidth="1"/>
    <col min="29" max="35" width="8" style="47"/>
    <col min="36" max="36" width="11.140625" style="47" customWidth="1"/>
    <col min="37" max="37" width="14.85546875" style="47" customWidth="1"/>
    <col min="38" max="38" width="11.42578125" style="47" customWidth="1"/>
    <col min="39" max="39" width="14.28515625" style="47" customWidth="1"/>
    <col min="40" max="16384" width="8" style="47"/>
  </cols>
  <sheetData>
    <row r="1" spans="1:39" ht="131.1" customHeight="1" x14ac:dyDescent="0.25">
      <c r="A1" s="268" t="s">
        <v>380</v>
      </c>
      <c r="B1" s="269"/>
      <c r="C1" s="269"/>
      <c r="D1" s="269"/>
      <c r="E1" s="269"/>
      <c r="F1" s="269"/>
    </row>
    <row r="2" spans="1:39" s="49" customFormat="1" ht="89.25" customHeight="1" x14ac:dyDescent="0.25">
      <c r="A2" s="71" t="s">
        <v>175</v>
      </c>
      <c r="B2" s="72"/>
      <c r="C2" s="271" t="s">
        <v>429</v>
      </c>
      <c r="D2" s="271"/>
      <c r="E2" s="271"/>
      <c r="F2" s="271"/>
      <c r="G2" s="70"/>
      <c r="I2" s="131" t="s">
        <v>355</v>
      </c>
      <c r="J2" s="70"/>
      <c r="K2" s="271" t="s">
        <v>407</v>
      </c>
      <c r="L2" s="271"/>
      <c r="M2" s="271"/>
      <c r="N2" s="271"/>
      <c r="O2" s="151"/>
      <c r="P2" s="151"/>
      <c r="Q2" s="165"/>
      <c r="R2" s="165"/>
      <c r="S2" s="70"/>
      <c r="T2" s="70"/>
      <c r="U2" s="70"/>
      <c r="V2" s="70"/>
      <c r="W2" s="70"/>
      <c r="X2" s="70"/>
      <c r="Y2" s="70"/>
      <c r="Z2" s="70"/>
      <c r="AA2" s="70"/>
      <c r="AB2" s="70"/>
      <c r="AC2" s="51"/>
      <c r="AD2" s="51"/>
      <c r="AE2" s="51"/>
      <c r="AF2" s="51"/>
      <c r="AG2" s="51"/>
      <c r="AH2" s="51"/>
      <c r="AI2" s="51"/>
      <c r="AJ2" s="51"/>
      <c r="AK2" s="51"/>
      <c r="AL2" s="51"/>
      <c r="AM2" s="51"/>
    </row>
    <row r="3" spans="1:39" s="48" customFormat="1" ht="60.75" x14ac:dyDescent="0.25">
      <c r="A3" s="75">
        <v>1</v>
      </c>
      <c r="B3" s="76"/>
      <c r="C3" s="73" t="s">
        <v>177</v>
      </c>
      <c r="D3" s="101" t="s">
        <v>178</v>
      </c>
      <c r="E3" s="123" t="s">
        <v>176</v>
      </c>
      <c r="F3" s="74" t="s">
        <v>172</v>
      </c>
      <c r="G3" s="70"/>
      <c r="H3" s="70"/>
      <c r="I3" s="50"/>
      <c r="J3" s="70"/>
      <c r="K3" s="151" t="s">
        <v>408</v>
      </c>
      <c r="L3" s="151" t="s">
        <v>409</v>
      </c>
      <c r="M3" s="151" t="s">
        <v>411</v>
      </c>
      <c r="N3" s="151" t="s">
        <v>410</v>
      </c>
      <c r="O3" s="162" t="s">
        <v>423</v>
      </c>
      <c r="P3" s="151" t="s">
        <v>415</v>
      </c>
      <c r="Q3" s="165"/>
      <c r="R3" s="165"/>
      <c r="S3" s="70"/>
      <c r="T3" s="70"/>
      <c r="U3" s="70"/>
      <c r="V3" s="70"/>
      <c r="W3" s="70"/>
      <c r="X3" s="70"/>
      <c r="Y3" s="70"/>
      <c r="Z3" s="70"/>
      <c r="AA3" s="70"/>
      <c r="AB3" s="70"/>
      <c r="AC3" s="51"/>
      <c r="AD3" s="51"/>
      <c r="AE3" s="51"/>
      <c r="AF3" s="51"/>
      <c r="AG3" s="51"/>
      <c r="AH3" s="51"/>
      <c r="AI3" s="51"/>
      <c r="AJ3" s="51" t="s">
        <v>179</v>
      </c>
      <c r="AK3" s="51"/>
      <c r="AM3" s="51"/>
    </row>
    <row r="4" spans="1:39" s="52" customFormat="1" ht="42" customHeight="1" x14ac:dyDescent="0.25">
      <c r="A4" s="259" t="s">
        <v>180</v>
      </c>
      <c r="B4" s="260"/>
      <c r="C4" s="78"/>
      <c r="D4" s="102"/>
      <c r="E4" s="125"/>
      <c r="F4" s="78"/>
      <c r="G4" s="53"/>
      <c r="H4" s="53"/>
      <c r="I4" s="53"/>
      <c r="J4" s="53"/>
      <c r="K4" s="152"/>
      <c r="L4" s="152"/>
      <c r="M4" s="152"/>
      <c r="N4" s="152"/>
      <c r="O4" s="163"/>
      <c r="P4" s="152"/>
      <c r="Q4" s="166"/>
      <c r="R4" s="166"/>
      <c r="S4" s="135"/>
      <c r="T4" s="53"/>
      <c r="U4" s="53"/>
      <c r="V4" s="53"/>
      <c r="W4" s="53"/>
      <c r="X4" s="53"/>
      <c r="Y4" s="53"/>
      <c r="Z4" s="53"/>
      <c r="AA4" s="53"/>
      <c r="AB4" s="53"/>
      <c r="AC4" s="53"/>
      <c r="AD4" s="53"/>
      <c r="AE4" s="53"/>
      <c r="AF4" s="53"/>
      <c r="AG4" s="53"/>
      <c r="AH4" s="53"/>
      <c r="AI4" s="53"/>
      <c r="AJ4" s="54">
        <v>0.2</v>
      </c>
      <c r="AK4" s="53" t="s">
        <v>181</v>
      </c>
      <c r="AM4" s="53" t="s">
        <v>182</v>
      </c>
    </row>
    <row r="5" spans="1:39" ht="202.5" x14ac:dyDescent="0.25">
      <c r="A5" s="257" t="s">
        <v>131</v>
      </c>
      <c r="B5" s="79" t="s">
        <v>183</v>
      </c>
      <c r="C5" s="80"/>
      <c r="D5" s="103"/>
      <c r="E5" s="126"/>
      <c r="F5" s="80"/>
      <c r="G5" s="51"/>
      <c r="H5" s="51"/>
      <c r="I5" s="51"/>
      <c r="J5" s="51"/>
      <c r="K5" s="152"/>
      <c r="L5" s="152"/>
      <c r="M5" s="152"/>
      <c r="N5" s="152"/>
      <c r="O5" s="163"/>
      <c r="P5" s="152"/>
      <c r="Q5" s="166"/>
      <c r="R5" s="166"/>
      <c r="S5" s="136"/>
      <c r="T5" s="51"/>
      <c r="U5" s="51"/>
      <c r="V5" s="51"/>
      <c r="W5" s="51"/>
      <c r="X5" s="51"/>
      <c r="Y5" s="51"/>
      <c r="Z5" s="51"/>
      <c r="AA5" s="51"/>
      <c r="AB5" s="51"/>
      <c r="AC5" s="51"/>
      <c r="AD5" s="51"/>
      <c r="AE5" s="51"/>
      <c r="AF5" s="51"/>
      <c r="AG5" s="51"/>
      <c r="AH5" s="51"/>
      <c r="AI5" s="51"/>
      <c r="AJ5" s="51"/>
      <c r="AK5" s="51"/>
      <c r="AL5" s="51"/>
      <c r="AM5" s="51"/>
    </row>
    <row r="6" spans="1:39" ht="60" customHeight="1" x14ac:dyDescent="0.25">
      <c r="A6" s="261"/>
      <c r="B6" s="81" t="s">
        <v>184</v>
      </c>
      <c r="C6" s="80"/>
      <c r="D6" s="104"/>
      <c r="E6" s="125"/>
      <c r="F6" s="80"/>
      <c r="G6" s="60"/>
      <c r="H6" s="60"/>
      <c r="I6" s="60"/>
      <c r="J6" s="60"/>
      <c r="K6" s="152"/>
      <c r="L6" s="152"/>
      <c r="M6" s="152"/>
      <c r="N6" s="152"/>
      <c r="O6" s="163"/>
      <c r="P6" s="152"/>
      <c r="Q6" s="166"/>
      <c r="R6" s="166"/>
      <c r="S6" s="137"/>
      <c r="T6" s="60"/>
      <c r="U6" s="60"/>
      <c r="V6" s="60"/>
      <c r="W6" s="60"/>
      <c r="X6" s="60"/>
      <c r="Y6" s="60"/>
      <c r="Z6" s="60"/>
      <c r="AA6" s="60"/>
      <c r="AB6" s="60"/>
      <c r="AC6" s="60"/>
      <c r="AD6" s="60"/>
      <c r="AE6" s="60"/>
      <c r="AF6" s="60"/>
      <c r="AG6" s="60"/>
      <c r="AH6" s="60"/>
      <c r="AI6" s="60"/>
      <c r="AJ6" s="60"/>
      <c r="AK6" s="60"/>
      <c r="AL6" s="60"/>
      <c r="AM6" s="60"/>
    </row>
    <row r="7" spans="1:39" ht="60" customHeight="1" x14ac:dyDescent="0.25">
      <c r="A7" s="261"/>
      <c r="B7" s="81" t="s">
        <v>382</v>
      </c>
      <c r="C7" s="80"/>
      <c r="D7" s="104"/>
      <c r="E7" s="125"/>
      <c r="F7" s="80"/>
      <c r="G7" s="60"/>
      <c r="H7" s="60"/>
      <c r="I7" s="60"/>
      <c r="J7" s="60"/>
      <c r="K7" s="152"/>
      <c r="L7" s="152"/>
      <c r="M7" s="152"/>
      <c r="N7" s="152"/>
      <c r="O7" s="163"/>
      <c r="P7" s="152"/>
      <c r="Q7" s="166"/>
      <c r="R7" s="166"/>
      <c r="S7" s="137"/>
      <c r="T7" s="60"/>
      <c r="U7" s="60"/>
      <c r="V7" s="60"/>
      <c r="W7" s="60"/>
      <c r="X7" s="60"/>
      <c r="Y7" s="60"/>
      <c r="Z7" s="60"/>
      <c r="AA7" s="60"/>
      <c r="AB7" s="60"/>
      <c r="AC7" s="60"/>
      <c r="AD7" s="60"/>
      <c r="AE7" s="60"/>
      <c r="AF7" s="60"/>
      <c r="AG7" s="60"/>
      <c r="AH7" s="60"/>
      <c r="AI7" s="60"/>
      <c r="AJ7" s="60"/>
      <c r="AK7" s="60"/>
      <c r="AL7" s="60"/>
      <c r="AM7" s="60"/>
    </row>
    <row r="8" spans="1:39" ht="103.5" customHeight="1" x14ac:dyDescent="0.25">
      <c r="A8" s="261"/>
      <c r="B8" s="79" t="s">
        <v>424</v>
      </c>
      <c r="C8" s="80"/>
      <c r="D8" s="103"/>
      <c r="E8" s="126"/>
      <c r="F8" s="80"/>
      <c r="G8" s="51"/>
      <c r="H8" s="51"/>
      <c r="I8" s="51"/>
      <c r="J8" s="51"/>
      <c r="K8" s="152"/>
      <c r="L8" s="152"/>
      <c r="M8" s="152"/>
      <c r="N8" s="152"/>
      <c r="O8" s="163"/>
      <c r="P8" s="152"/>
      <c r="Q8" s="166"/>
      <c r="R8" s="166"/>
      <c r="S8" s="136"/>
      <c r="T8" s="51"/>
      <c r="U8" s="51"/>
      <c r="V8" s="51"/>
      <c r="W8" s="51"/>
      <c r="X8" s="51"/>
      <c r="Y8" s="51"/>
      <c r="Z8" s="51"/>
      <c r="AA8" s="51"/>
      <c r="AB8" s="51"/>
      <c r="AC8" s="51"/>
      <c r="AD8" s="51"/>
      <c r="AE8" s="51"/>
      <c r="AF8" s="51"/>
      <c r="AG8" s="51"/>
      <c r="AH8" s="51"/>
      <c r="AI8" s="51"/>
      <c r="AJ8" s="51"/>
      <c r="AK8" s="51"/>
      <c r="AL8" s="51"/>
      <c r="AM8" s="51"/>
    </row>
    <row r="9" spans="1:39" ht="60.75" x14ac:dyDescent="0.25">
      <c r="A9" s="261"/>
      <c r="B9" s="79" t="s">
        <v>383</v>
      </c>
      <c r="C9" s="80"/>
      <c r="D9" s="103"/>
      <c r="E9" s="126"/>
      <c r="F9" s="80"/>
      <c r="G9" s="51"/>
      <c r="H9" s="51"/>
      <c r="I9" s="51"/>
      <c r="J9" s="51"/>
      <c r="K9" s="152"/>
      <c r="L9" s="152"/>
      <c r="M9" s="152"/>
      <c r="N9" s="152"/>
      <c r="O9" s="163"/>
      <c r="P9" s="152"/>
      <c r="Q9" s="166"/>
      <c r="R9" s="166"/>
      <c r="S9" s="136"/>
      <c r="T9" s="51"/>
      <c r="U9" s="51"/>
      <c r="V9" s="51"/>
      <c r="W9" s="51"/>
      <c r="X9" s="51"/>
      <c r="Y9" s="51"/>
      <c r="Z9" s="51"/>
      <c r="AA9" s="51"/>
      <c r="AB9" s="51"/>
      <c r="AC9" s="51"/>
      <c r="AD9" s="51"/>
      <c r="AE9" s="51"/>
      <c r="AF9" s="51"/>
      <c r="AG9" s="51"/>
      <c r="AH9" s="51"/>
      <c r="AI9" s="51"/>
      <c r="AJ9" s="51"/>
      <c r="AK9" s="51"/>
      <c r="AL9" s="51"/>
      <c r="AM9" s="51"/>
    </row>
    <row r="10" spans="1:39" ht="131.25" customHeight="1" x14ac:dyDescent="0.25">
      <c r="A10" s="261"/>
      <c r="B10" s="79" t="s">
        <v>266</v>
      </c>
      <c r="C10" s="80"/>
      <c r="D10" s="103"/>
      <c r="E10" s="126"/>
      <c r="F10" s="80"/>
      <c r="G10" s="51"/>
      <c r="H10" s="51"/>
      <c r="I10" s="51"/>
      <c r="J10" s="51"/>
      <c r="K10" s="152"/>
      <c r="L10" s="152"/>
      <c r="M10" s="152"/>
      <c r="N10" s="152"/>
      <c r="O10" s="163"/>
      <c r="P10" s="152"/>
      <c r="Q10" s="166"/>
      <c r="R10" s="166"/>
      <c r="S10" s="136"/>
      <c r="T10" s="51"/>
      <c r="U10" s="51"/>
      <c r="V10" s="51"/>
      <c r="W10" s="51"/>
      <c r="X10" s="51"/>
      <c r="Y10" s="51"/>
      <c r="Z10" s="51"/>
      <c r="AA10" s="51"/>
      <c r="AB10" s="51"/>
      <c r="AC10" s="51"/>
      <c r="AD10" s="51"/>
      <c r="AE10" s="51"/>
      <c r="AF10" s="51"/>
      <c r="AG10" s="51"/>
      <c r="AH10" s="51"/>
      <c r="AI10" s="51"/>
      <c r="AJ10" s="51"/>
      <c r="AK10" s="51"/>
      <c r="AL10" s="51"/>
      <c r="AM10" s="51"/>
    </row>
    <row r="11" spans="1:39" ht="30" customHeight="1" x14ac:dyDescent="0.25">
      <c r="A11" s="261"/>
      <c r="B11" s="79" t="s">
        <v>187</v>
      </c>
      <c r="C11" s="80"/>
      <c r="D11" s="103"/>
      <c r="E11" s="126"/>
      <c r="F11" s="80"/>
      <c r="G11" s="51"/>
      <c r="H11" s="51"/>
      <c r="I11" s="51"/>
      <c r="J11" s="51"/>
      <c r="K11" s="152"/>
      <c r="L11" s="152"/>
      <c r="M11" s="152"/>
      <c r="N11" s="152"/>
      <c r="O11" s="163"/>
      <c r="P11" s="152"/>
      <c r="Q11" s="166"/>
      <c r="R11" s="166"/>
      <c r="S11" s="136"/>
      <c r="T11" s="51"/>
      <c r="U11" s="51"/>
      <c r="V11" s="51"/>
      <c r="W11" s="51"/>
      <c r="X11" s="51"/>
      <c r="Y11" s="51"/>
      <c r="Z11" s="51"/>
      <c r="AA11" s="51"/>
      <c r="AB11" s="51"/>
      <c r="AC11" s="51"/>
      <c r="AD11" s="51"/>
      <c r="AE11" s="51"/>
      <c r="AF11" s="51"/>
      <c r="AG11" s="51"/>
      <c r="AH11" s="51"/>
      <c r="AI11" s="51"/>
      <c r="AJ11" s="51"/>
      <c r="AK11" s="51"/>
      <c r="AL11" s="51"/>
      <c r="AM11" s="51"/>
    </row>
    <row r="12" spans="1:39" ht="101.25" customHeight="1" x14ac:dyDescent="0.25">
      <c r="A12" s="261"/>
      <c r="B12" s="79" t="s">
        <v>384</v>
      </c>
      <c r="C12" s="80"/>
      <c r="D12" s="103"/>
      <c r="E12" s="126"/>
      <c r="F12" s="80"/>
      <c r="G12" s="51"/>
      <c r="H12" s="51"/>
      <c r="I12" s="51"/>
      <c r="J12" s="51"/>
      <c r="K12" s="152"/>
      <c r="L12" s="152"/>
      <c r="M12" s="152"/>
      <c r="N12" s="152"/>
      <c r="O12" s="163"/>
      <c r="P12" s="152"/>
      <c r="Q12" s="166"/>
      <c r="R12" s="166"/>
      <c r="S12" s="136"/>
      <c r="T12" s="51"/>
      <c r="U12" s="51"/>
      <c r="V12" s="51"/>
      <c r="W12" s="51"/>
      <c r="X12" s="51"/>
      <c r="Y12" s="51"/>
      <c r="Z12" s="51"/>
      <c r="AA12" s="51"/>
      <c r="AB12" s="51"/>
      <c r="AC12" s="51"/>
      <c r="AD12" s="51"/>
      <c r="AE12" s="51"/>
      <c r="AF12" s="51"/>
      <c r="AG12" s="51"/>
      <c r="AH12" s="51"/>
      <c r="AI12" s="51"/>
      <c r="AJ12" s="51"/>
      <c r="AK12" s="51"/>
      <c r="AL12" s="51"/>
      <c r="AM12" s="51"/>
    </row>
    <row r="13" spans="1:39" ht="101.25" x14ac:dyDescent="0.25">
      <c r="A13" s="261"/>
      <c r="B13" s="79" t="s">
        <v>425</v>
      </c>
      <c r="C13" s="80"/>
      <c r="D13" s="103"/>
      <c r="E13" s="126"/>
      <c r="F13" s="80"/>
      <c r="G13" s="51"/>
      <c r="H13" s="51"/>
      <c r="I13" s="51"/>
      <c r="J13" s="51"/>
      <c r="K13" s="152"/>
      <c r="L13" s="152"/>
      <c r="M13" s="152"/>
      <c r="N13" s="152"/>
      <c r="O13" s="163"/>
      <c r="P13" s="152"/>
      <c r="Q13" s="166"/>
      <c r="R13" s="166"/>
      <c r="S13" s="136"/>
      <c r="T13" s="51"/>
      <c r="U13" s="51"/>
      <c r="V13" s="51"/>
      <c r="W13" s="51"/>
      <c r="X13" s="51"/>
      <c r="Y13" s="51"/>
      <c r="Z13" s="51"/>
      <c r="AA13" s="51"/>
      <c r="AB13" s="51"/>
      <c r="AC13" s="51"/>
      <c r="AD13" s="51"/>
      <c r="AE13" s="51"/>
      <c r="AF13" s="51"/>
      <c r="AG13" s="51"/>
      <c r="AH13" s="51"/>
      <c r="AI13" s="51"/>
      <c r="AJ13" s="51"/>
      <c r="AK13" s="51"/>
      <c r="AL13" s="51"/>
      <c r="AM13" s="51"/>
    </row>
    <row r="14" spans="1:39" ht="52.5" customHeight="1" x14ac:dyDescent="0.25">
      <c r="A14" s="261"/>
      <c r="B14" s="79" t="s">
        <v>190</v>
      </c>
      <c r="C14" s="80"/>
      <c r="D14" s="103"/>
      <c r="E14" s="126"/>
      <c r="F14" s="80"/>
      <c r="G14" s="51"/>
      <c r="H14" s="51"/>
      <c r="I14" s="51"/>
      <c r="J14" s="51"/>
      <c r="K14" s="152"/>
      <c r="L14" s="152"/>
      <c r="M14" s="152"/>
      <c r="N14" s="152"/>
      <c r="O14" s="163"/>
      <c r="P14" s="152"/>
      <c r="Q14" s="166"/>
      <c r="R14" s="166"/>
      <c r="S14" s="136"/>
      <c r="T14" s="51"/>
      <c r="U14" s="51"/>
      <c r="V14" s="51"/>
      <c r="W14" s="51"/>
      <c r="X14" s="51"/>
      <c r="Y14" s="51"/>
      <c r="Z14" s="51"/>
      <c r="AA14" s="51"/>
      <c r="AB14" s="51"/>
      <c r="AC14" s="51"/>
      <c r="AD14" s="51"/>
      <c r="AE14" s="51"/>
      <c r="AF14" s="51"/>
      <c r="AG14" s="51"/>
      <c r="AH14" s="51"/>
      <c r="AI14" s="51"/>
      <c r="AJ14" s="51"/>
      <c r="AK14" s="51"/>
      <c r="AL14" s="51"/>
      <c r="AM14" s="51"/>
    </row>
    <row r="15" spans="1:39" ht="48" customHeight="1" x14ac:dyDescent="0.25">
      <c r="A15" s="261"/>
      <c r="B15" s="79" t="s">
        <v>191</v>
      </c>
      <c r="C15" s="80"/>
      <c r="D15" s="103"/>
      <c r="E15" s="126"/>
      <c r="F15" s="80"/>
      <c r="G15" s="51"/>
      <c r="H15" s="51"/>
      <c r="I15" s="51"/>
      <c r="J15" s="51"/>
      <c r="K15" s="152"/>
      <c r="L15" s="152"/>
      <c r="M15" s="152"/>
      <c r="N15" s="152"/>
      <c r="O15" s="163"/>
      <c r="P15" s="152"/>
      <c r="Q15" s="166"/>
      <c r="R15" s="166"/>
      <c r="S15" s="136"/>
      <c r="T15" s="51"/>
      <c r="U15" s="51"/>
      <c r="V15" s="51"/>
      <c r="W15" s="51"/>
      <c r="X15" s="51"/>
      <c r="Y15" s="51"/>
      <c r="Z15" s="51"/>
      <c r="AA15" s="51"/>
      <c r="AB15" s="51"/>
      <c r="AC15" s="51"/>
      <c r="AD15" s="51"/>
      <c r="AE15" s="51"/>
      <c r="AF15" s="51"/>
      <c r="AG15" s="51"/>
      <c r="AH15" s="51"/>
      <c r="AI15" s="51"/>
      <c r="AJ15" s="51"/>
      <c r="AK15" s="51"/>
      <c r="AL15" s="51"/>
      <c r="AM15" s="51"/>
    </row>
    <row r="16" spans="1:39" ht="42.75" customHeight="1" x14ac:dyDescent="0.25">
      <c r="A16" s="261"/>
      <c r="B16" s="79" t="s">
        <v>192</v>
      </c>
      <c r="C16" s="80"/>
      <c r="D16" s="103"/>
      <c r="E16" s="126"/>
      <c r="F16" s="80"/>
      <c r="G16" s="51"/>
      <c r="H16" s="51"/>
      <c r="I16" s="51"/>
      <c r="J16" s="51"/>
      <c r="K16" s="152"/>
      <c r="L16" s="152"/>
      <c r="M16" s="152"/>
      <c r="N16" s="152"/>
      <c r="O16" s="163"/>
      <c r="P16" s="152"/>
      <c r="Q16" s="166"/>
      <c r="R16" s="166"/>
      <c r="S16" s="136"/>
      <c r="T16" s="51"/>
      <c r="U16" s="51"/>
      <c r="V16" s="51"/>
      <c r="W16" s="51"/>
      <c r="X16" s="51"/>
      <c r="Y16" s="51"/>
      <c r="Z16" s="51"/>
      <c r="AA16" s="51"/>
      <c r="AB16" s="51"/>
      <c r="AC16" s="51"/>
      <c r="AD16" s="51"/>
      <c r="AE16" s="51"/>
      <c r="AF16" s="51"/>
      <c r="AG16" s="51"/>
      <c r="AH16" s="51"/>
      <c r="AI16" s="51"/>
      <c r="AJ16" s="51"/>
      <c r="AK16" s="51"/>
      <c r="AL16" s="51"/>
      <c r="AM16" s="51"/>
    </row>
    <row r="17" spans="1:39" ht="51.75" customHeight="1" x14ac:dyDescent="0.25">
      <c r="A17" s="261"/>
      <c r="B17" s="79" t="s">
        <v>193</v>
      </c>
      <c r="C17" s="80"/>
      <c r="D17" s="103"/>
      <c r="E17" s="126"/>
      <c r="F17" s="80"/>
      <c r="G17" s="51"/>
      <c r="H17" s="51"/>
      <c r="I17" s="51"/>
      <c r="J17" s="51"/>
      <c r="K17" s="152"/>
      <c r="L17" s="152"/>
      <c r="M17" s="152"/>
      <c r="N17" s="152"/>
      <c r="O17" s="163"/>
      <c r="P17" s="152"/>
      <c r="Q17" s="166"/>
      <c r="R17" s="166"/>
      <c r="S17" s="136"/>
      <c r="T17" s="51"/>
      <c r="U17" s="51"/>
      <c r="V17" s="51"/>
      <c r="W17" s="51"/>
      <c r="X17" s="51"/>
      <c r="Y17" s="51"/>
      <c r="Z17" s="51"/>
      <c r="AA17" s="51"/>
      <c r="AB17" s="51"/>
      <c r="AC17" s="51"/>
      <c r="AD17" s="51"/>
      <c r="AE17" s="51"/>
      <c r="AF17" s="51"/>
      <c r="AG17" s="51"/>
      <c r="AH17" s="51"/>
      <c r="AI17" s="51"/>
      <c r="AJ17" s="51"/>
      <c r="AK17" s="51"/>
      <c r="AL17" s="51"/>
      <c r="AM17" s="51"/>
    </row>
    <row r="18" spans="1:39" ht="24.75" customHeight="1" x14ac:dyDescent="0.25">
      <c r="A18" s="261"/>
      <c r="B18" s="79" t="s">
        <v>194</v>
      </c>
      <c r="C18" s="80"/>
      <c r="D18" s="103"/>
      <c r="E18" s="126"/>
      <c r="F18" s="80"/>
      <c r="G18" s="51"/>
      <c r="H18" s="51"/>
      <c r="I18" s="51"/>
      <c r="J18" s="51"/>
      <c r="K18" s="152"/>
      <c r="L18" s="152"/>
      <c r="M18" s="152"/>
      <c r="N18" s="152"/>
      <c r="O18" s="163"/>
      <c r="P18" s="152"/>
      <c r="Q18" s="166"/>
      <c r="R18" s="166"/>
      <c r="S18" s="136"/>
      <c r="T18" s="51"/>
      <c r="U18" s="51"/>
      <c r="V18" s="51"/>
      <c r="W18" s="51"/>
      <c r="X18" s="51"/>
      <c r="Y18" s="51"/>
      <c r="Z18" s="51"/>
      <c r="AA18" s="51"/>
      <c r="AB18" s="51"/>
      <c r="AC18" s="51"/>
      <c r="AD18" s="51"/>
      <c r="AE18" s="51"/>
      <c r="AF18" s="51"/>
      <c r="AG18" s="51"/>
      <c r="AH18" s="51"/>
      <c r="AI18" s="51"/>
      <c r="AJ18" s="51"/>
      <c r="AK18" s="51"/>
      <c r="AL18" s="51"/>
      <c r="AM18" s="51"/>
    </row>
    <row r="19" spans="1:39" ht="24.75" customHeight="1" x14ac:dyDescent="0.25">
      <c r="A19" s="261"/>
      <c r="B19" s="79" t="s">
        <v>361</v>
      </c>
      <c r="C19" s="80"/>
      <c r="D19" s="103"/>
      <c r="E19" s="126"/>
      <c r="F19" s="80"/>
      <c r="G19" s="51"/>
      <c r="H19" s="51"/>
      <c r="I19" s="51"/>
      <c r="J19" s="51"/>
      <c r="K19" s="152"/>
      <c r="L19" s="152"/>
      <c r="M19" s="152"/>
      <c r="N19" s="152"/>
      <c r="O19" s="163"/>
      <c r="P19" s="152"/>
      <c r="Q19" s="166"/>
      <c r="R19" s="166"/>
      <c r="S19" s="136"/>
      <c r="T19" s="51"/>
      <c r="U19" s="51"/>
      <c r="V19" s="51"/>
      <c r="W19" s="51"/>
      <c r="X19" s="51"/>
      <c r="Y19" s="51"/>
      <c r="Z19" s="51"/>
      <c r="AA19" s="51"/>
      <c r="AB19" s="51"/>
      <c r="AC19" s="51"/>
      <c r="AD19" s="51"/>
      <c r="AE19" s="51"/>
      <c r="AF19" s="51"/>
      <c r="AG19" s="51"/>
      <c r="AH19" s="51"/>
      <c r="AI19" s="51"/>
      <c r="AJ19" s="51"/>
      <c r="AK19" s="51"/>
      <c r="AL19" s="51"/>
      <c r="AM19" s="51"/>
    </row>
    <row r="20" spans="1:39" ht="60.75" x14ac:dyDescent="0.25">
      <c r="A20" s="261"/>
      <c r="B20" s="79" t="s">
        <v>195</v>
      </c>
      <c r="C20" s="80"/>
      <c r="D20" s="103"/>
      <c r="E20" s="126"/>
      <c r="F20" s="80"/>
      <c r="G20" s="51"/>
      <c r="H20" s="51"/>
      <c r="I20" s="51"/>
      <c r="J20" s="51"/>
      <c r="K20" s="152"/>
      <c r="L20" s="152"/>
      <c r="M20" s="152"/>
      <c r="N20" s="152"/>
      <c r="O20" s="163"/>
      <c r="P20" s="152"/>
      <c r="Q20" s="166"/>
      <c r="R20" s="166"/>
      <c r="S20" s="136"/>
      <c r="T20" s="51"/>
      <c r="U20" s="51"/>
      <c r="V20" s="51"/>
      <c r="W20" s="51"/>
      <c r="X20" s="51"/>
      <c r="Y20" s="51"/>
      <c r="Z20" s="51"/>
      <c r="AA20" s="51"/>
      <c r="AB20" s="51"/>
      <c r="AC20" s="51"/>
      <c r="AD20" s="51"/>
      <c r="AE20" s="51"/>
      <c r="AF20" s="51"/>
      <c r="AG20" s="51"/>
      <c r="AH20" s="51"/>
      <c r="AI20" s="51"/>
      <c r="AJ20" s="51"/>
      <c r="AK20" s="51"/>
      <c r="AL20" s="51"/>
      <c r="AM20" s="51"/>
    </row>
    <row r="21" spans="1:39" ht="36.75" customHeight="1" x14ac:dyDescent="0.25">
      <c r="A21" s="261"/>
      <c r="B21" s="79" t="s">
        <v>196</v>
      </c>
      <c r="C21" s="80"/>
      <c r="D21" s="103"/>
      <c r="E21" s="126"/>
      <c r="F21" s="80"/>
      <c r="G21" s="51"/>
      <c r="H21" s="51"/>
      <c r="I21" s="51"/>
      <c r="J21" s="51"/>
      <c r="K21" s="152"/>
      <c r="L21" s="152"/>
      <c r="M21" s="152"/>
      <c r="N21" s="152"/>
      <c r="O21" s="163"/>
      <c r="P21" s="152"/>
      <c r="Q21" s="166"/>
      <c r="R21" s="166"/>
      <c r="S21" s="136"/>
      <c r="T21" s="51"/>
      <c r="U21" s="51"/>
      <c r="V21" s="51"/>
      <c r="W21" s="51"/>
      <c r="X21" s="51"/>
      <c r="Y21" s="51"/>
      <c r="Z21" s="51"/>
      <c r="AA21" s="51"/>
      <c r="AB21" s="51"/>
      <c r="AC21" s="51"/>
      <c r="AD21" s="51"/>
      <c r="AE21" s="51"/>
      <c r="AF21" s="51"/>
      <c r="AG21" s="51"/>
      <c r="AH21" s="51"/>
      <c r="AI21" s="51"/>
      <c r="AJ21" s="51"/>
      <c r="AK21" s="51"/>
      <c r="AL21" s="51"/>
      <c r="AM21" s="51"/>
    </row>
    <row r="22" spans="1:39" ht="33.75" customHeight="1" x14ac:dyDescent="0.25">
      <c r="A22" s="261"/>
      <c r="B22" s="79" t="s">
        <v>417</v>
      </c>
      <c r="C22" s="80"/>
      <c r="D22" s="103"/>
      <c r="E22" s="126"/>
      <c r="F22" s="80"/>
      <c r="G22" s="51"/>
      <c r="H22" s="51"/>
      <c r="I22" s="51"/>
      <c r="J22" s="51"/>
      <c r="K22" s="152"/>
      <c r="L22" s="152"/>
      <c r="M22" s="152"/>
      <c r="N22" s="152"/>
      <c r="O22" s="163"/>
      <c r="P22" s="152"/>
      <c r="Q22" s="166"/>
      <c r="R22" s="166"/>
      <c r="S22" s="136"/>
      <c r="T22" s="51"/>
      <c r="U22" s="51"/>
      <c r="V22" s="51"/>
      <c r="W22" s="51"/>
      <c r="X22" s="51"/>
      <c r="Y22" s="51"/>
      <c r="Z22" s="51"/>
      <c r="AA22" s="51"/>
      <c r="AB22" s="51"/>
      <c r="AC22" s="51"/>
      <c r="AD22" s="51"/>
      <c r="AE22" s="51"/>
      <c r="AF22" s="51"/>
      <c r="AG22" s="51"/>
      <c r="AH22" s="51"/>
      <c r="AI22" s="51"/>
      <c r="AJ22" s="51"/>
      <c r="AK22" s="51"/>
      <c r="AL22" s="51"/>
      <c r="AM22" s="51"/>
    </row>
    <row r="23" spans="1:39" ht="85.5" customHeight="1" x14ac:dyDescent="0.25">
      <c r="A23" s="261"/>
      <c r="B23" s="79" t="s">
        <v>430</v>
      </c>
      <c r="C23" s="80"/>
      <c r="D23" s="103"/>
      <c r="E23" s="126"/>
      <c r="F23" s="80"/>
      <c r="G23" s="51"/>
      <c r="H23" s="51"/>
      <c r="I23" s="51"/>
      <c r="J23" s="51"/>
      <c r="K23" s="152"/>
      <c r="L23" s="152"/>
      <c r="M23" s="152"/>
      <c r="N23" s="152"/>
      <c r="O23" s="163"/>
      <c r="P23" s="152"/>
      <c r="Q23" s="166"/>
      <c r="R23" s="166"/>
      <c r="S23" s="136"/>
      <c r="T23" s="51"/>
      <c r="U23" s="51"/>
      <c r="V23" s="51"/>
      <c r="W23" s="51"/>
      <c r="X23" s="51"/>
      <c r="Y23" s="51"/>
      <c r="Z23" s="51"/>
      <c r="AA23" s="51"/>
      <c r="AB23" s="51"/>
      <c r="AC23" s="51"/>
      <c r="AD23" s="51"/>
      <c r="AE23" s="51"/>
      <c r="AF23" s="51"/>
      <c r="AG23" s="51"/>
      <c r="AH23" s="51"/>
      <c r="AI23" s="51"/>
      <c r="AJ23" s="51"/>
      <c r="AK23" s="51"/>
      <c r="AL23" s="51"/>
      <c r="AM23" s="51"/>
    </row>
    <row r="24" spans="1:39" ht="46.15" customHeight="1" x14ac:dyDescent="0.25">
      <c r="A24" s="121" t="s">
        <v>285</v>
      </c>
      <c r="B24" s="81" t="s">
        <v>283</v>
      </c>
      <c r="C24" s="80"/>
      <c r="D24" s="104"/>
      <c r="E24" s="125"/>
      <c r="F24" s="80"/>
      <c r="G24" s="51"/>
      <c r="H24" s="51"/>
      <c r="I24" s="51"/>
      <c r="J24" s="51"/>
      <c r="K24" s="152"/>
      <c r="L24" s="152"/>
      <c r="M24" s="152"/>
      <c r="N24" s="152"/>
      <c r="O24" s="163"/>
      <c r="P24" s="152"/>
      <c r="Q24" s="166"/>
      <c r="R24" s="166"/>
      <c r="S24" s="136"/>
      <c r="T24" s="51"/>
      <c r="U24" s="51"/>
      <c r="V24" s="51"/>
      <c r="W24" s="51"/>
      <c r="X24" s="51"/>
      <c r="Y24" s="51"/>
      <c r="Z24" s="51"/>
      <c r="AA24" s="51"/>
      <c r="AB24" s="51"/>
      <c r="AC24" s="51"/>
      <c r="AD24" s="51"/>
      <c r="AE24" s="51"/>
      <c r="AF24" s="51"/>
      <c r="AG24" s="51"/>
      <c r="AH24" s="51"/>
      <c r="AI24" s="51"/>
      <c r="AJ24" s="51"/>
      <c r="AK24" s="51"/>
      <c r="AL24" s="51"/>
      <c r="AM24" s="51"/>
    </row>
    <row r="25" spans="1:39" ht="32.25" customHeight="1" x14ac:dyDescent="0.25">
      <c r="A25" s="71" t="s">
        <v>278</v>
      </c>
      <c r="B25" s="79" t="s">
        <v>272</v>
      </c>
      <c r="C25" s="80" t="s">
        <v>17</v>
      </c>
      <c r="D25" s="103">
        <v>2000</v>
      </c>
      <c r="E25" s="96">
        <v>446.72</v>
      </c>
      <c r="F25" s="80">
        <f>D25*E25</f>
        <v>893440</v>
      </c>
      <c r="G25" s="51"/>
      <c r="I25" s="51">
        <f>E25*1.1</f>
        <v>491.39200000000005</v>
      </c>
      <c r="J25" s="51">
        <f>I25*D25</f>
        <v>982784.00000000012</v>
      </c>
      <c r="K25" s="152"/>
      <c r="L25" s="152"/>
      <c r="M25" s="152"/>
      <c r="N25" s="152"/>
      <c r="O25" s="129">
        <v>446.72</v>
      </c>
      <c r="P25" s="153">
        <f>D25*O25</f>
        <v>893440</v>
      </c>
      <c r="Q25" s="167" t="b">
        <f>F25=P25</f>
        <v>1</v>
      </c>
      <c r="R25" s="167"/>
      <c r="S25" s="136"/>
      <c r="T25" s="55"/>
      <c r="U25" s="51"/>
      <c r="V25" s="51"/>
      <c r="W25" s="262"/>
      <c r="X25" s="51"/>
      <c r="Y25" s="51"/>
      <c r="Z25" s="55"/>
      <c r="AA25" s="51"/>
      <c r="AB25" s="51"/>
      <c r="AC25" s="51"/>
      <c r="AD25" s="51"/>
      <c r="AE25" s="51"/>
      <c r="AF25" s="51"/>
      <c r="AG25" s="51"/>
      <c r="AH25" s="51"/>
      <c r="AI25" s="51"/>
      <c r="AJ25" s="51">
        <f>G25*$AJ$4</f>
        <v>0</v>
      </c>
      <c r="AK25" s="51">
        <f>G25+AJ25</f>
        <v>0</v>
      </c>
      <c r="AM25" s="51">
        <f>ROUND(AK25,-1)</f>
        <v>0</v>
      </c>
    </row>
    <row r="26" spans="1:39" ht="33" customHeight="1" x14ac:dyDescent="0.25">
      <c r="A26" s="94" t="s">
        <v>279</v>
      </c>
      <c r="B26" s="95" t="s">
        <v>271</v>
      </c>
      <c r="C26" s="97" t="s">
        <v>17</v>
      </c>
      <c r="D26" s="103">
        <v>8848</v>
      </c>
      <c r="E26" s="96">
        <v>460</v>
      </c>
      <c r="F26" s="80">
        <f t="shared" ref="F26:F107" si="0">D26*E26</f>
        <v>4070080</v>
      </c>
      <c r="G26" s="51">
        <v>100</v>
      </c>
      <c r="H26" s="51"/>
      <c r="I26" s="51">
        <f t="shared" ref="I26:I107" si="1">E26*1.1</f>
        <v>506.00000000000006</v>
      </c>
      <c r="J26" s="51">
        <f t="shared" ref="J26:J107" si="2">I26*D26</f>
        <v>4477088.0000000009</v>
      </c>
      <c r="K26" s="152"/>
      <c r="L26" s="152"/>
      <c r="M26" s="152"/>
      <c r="N26" s="152"/>
      <c r="O26" s="129">
        <v>460</v>
      </c>
      <c r="P26" s="153">
        <f t="shared" ref="P26:P89" si="3">D26*O26</f>
        <v>4070080</v>
      </c>
      <c r="Q26" s="167" t="b">
        <f t="shared" ref="Q26:Q89" si="4">F26=P26</f>
        <v>1</v>
      </c>
      <c r="R26" s="167"/>
      <c r="S26" s="136"/>
      <c r="T26" s="55"/>
      <c r="U26" s="51"/>
      <c r="V26" s="51"/>
      <c r="W26" s="262"/>
      <c r="X26" s="51"/>
      <c r="Y26" s="51"/>
      <c r="Z26" s="55"/>
      <c r="AA26" s="51"/>
      <c r="AB26" s="51"/>
      <c r="AC26" s="51"/>
      <c r="AD26" s="51"/>
      <c r="AE26" s="51"/>
      <c r="AF26" s="51"/>
      <c r="AG26" s="51"/>
      <c r="AH26" s="51"/>
      <c r="AI26" s="51"/>
      <c r="AJ26" s="51"/>
      <c r="AK26" s="51"/>
      <c r="AM26" s="51"/>
    </row>
    <row r="27" spans="1:39" ht="32.25" customHeight="1" x14ac:dyDescent="0.25">
      <c r="A27" s="71" t="s">
        <v>280</v>
      </c>
      <c r="B27" s="79" t="s">
        <v>21</v>
      </c>
      <c r="C27" s="80" t="s">
        <v>17</v>
      </c>
      <c r="D27" s="103">
        <v>8500</v>
      </c>
      <c r="E27" s="96">
        <v>481.62</v>
      </c>
      <c r="F27" s="80">
        <f t="shared" si="0"/>
        <v>4093770</v>
      </c>
      <c r="G27" s="51">
        <f>D27/50</f>
        <v>170</v>
      </c>
      <c r="H27" s="51"/>
      <c r="I27" s="51">
        <f t="shared" si="1"/>
        <v>529.78200000000004</v>
      </c>
      <c r="J27" s="51">
        <f t="shared" si="2"/>
        <v>4503147</v>
      </c>
      <c r="K27" s="152"/>
      <c r="L27" s="152"/>
      <c r="M27" s="152"/>
      <c r="N27" s="152"/>
      <c r="O27" s="129">
        <v>481.62</v>
      </c>
      <c r="P27" s="153">
        <f t="shared" si="3"/>
        <v>4093770</v>
      </c>
      <c r="Q27" s="167" t="b">
        <f t="shared" si="4"/>
        <v>1</v>
      </c>
      <c r="R27" s="167"/>
      <c r="S27" s="136"/>
      <c r="T27" s="55"/>
      <c r="U27" s="51"/>
      <c r="V27" s="51"/>
      <c r="W27" s="262"/>
      <c r="X27" s="51"/>
      <c r="Y27" s="51"/>
      <c r="Z27" s="55"/>
      <c r="AA27" s="51"/>
      <c r="AB27" s="51"/>
      <c r="AC27" s="51"/>
      <c r="AD27" s="51"/>
      <c r="AE27" s="51"/>
      <c r="AF27" s="51"/>
      <c r="AG27" s="51"/>
      <c r="AH27" s="51"/>
      <c r="AI27" s="51"/>
      <c r="AJ27" s="51">
        <f>G27*$AJ$4</f>
        <v>34</v>
      </c>
      <c r="AK27" s="51">
        <f>G27+AJ27</f>
        <v>204</v>
      </c>
      <c r="AM27" s="51">
        <f>ROUND(AK27,-1)</f>
        <v>200</v>
      </c>
    </row>
    <row r="28" spans="1:39" ht="32.25" customHeight="1" x14ac:dyDescent="0.25">
      <c r="A28" s="71" t="s">
        <v>281</v>
      </c>
      <c r="B28" s="79" t="s">
        <v>23</v>
      </c>
      <c r="C28" s="80" t="s">
        <v>17</v>
      </c>
      <c r="D28" s="103">
        <v>3000</v>
      </c>
      <c r="E28" s="96">
        <v>558.4</v>
      </c>
      <c r="F28" s="80">
        <f t="shared" si="0"/>
        <v>1675200</v>
      </c>
      <c r="G28" s="51">
        <f>D28/50</f>
        <v>60</v>
      </c>
      <c r="H28" s="51"/>
      <c r="I28" s="51">
        <f t="shared" si="1"/>
        <v>614.24</v>
      </c>
      <c r="J28" s="51">
        <f t="shared" si="2"/>
        <v>1842720</v>
      </c>
      <c r="K28" s="152"/>
      <c r="L28" s="152"/>
      <c r="M28" s="152"/>
      <c r="N28" s="152"/>
      <c r="O28" s="129">
        <v>558.4</v>
      </c>
      <c r="P28" s="153">
        <f t="shared" si="3"/>
        <v>1675200</v>
      </c>
      <c r="Q28" s="167" t="b">
        <f t="shared" si="4"/>
        <v>1</v>
      </c>
      <c r="R28" s="167"/>
      <c r="S28" s="136"/>
      <c r="T28" s="55"/>
      <c r="U28" s="51"/>
      <c r="V28" s="51"/>
      <c r="W28" s="262"/>
      <c r="X28" s="51"/>
      <c r="Y28" s="51"/>
      <c r="Z28" s="51"/>
      <c r="AA28" s="51"/>
      <c r="AB28" s="51"/>
      <c r="AC28" s="51"/>
      <c r="AD28" s="51"/>
      <c r="AE28" s="51"/>
      <c r="AF28" s="51"/>
      <c r="AG28" s="51"/>
      <c r="AH28" s="51"/>
      <c r="AI28" s="51"/>
      <c r="AJ28" s="51"/>
      <c r="AK28" s="51">
        <f>G28</f>
        <v>60</v>
      </c>
      <c r="AL28" s="51"/>
      <c r="AM28" s="51">
        <f>ROUND(AK28,-1)</f>
        <v>60</v>
      </c>
    </row>
    <row r="29" spans="1:39" ht="32.25" customHeight="1" x14ac:dyDescent="0.25">
      <c r="A29" s="71" t="s">
        <v>282</v>
      </c>
      <c r="B29" s="79" t="s">
        <v>25</v>
      </c>
      <c r="C29" s="80" t="s">
        <v>17</v>
      </c>
      <c r="D29" s="103">
        <v>2000</v>
      </c>
      <c r="E29" s="96">
        <v>628.20000000000005</v>
      </c>
      <c r="F29" s="80">
        <f t="shared" si="0"/>
        <v>1256400</v>
      </c>
      <c r="G29" s="51">
        <f>D29/50</f>
        <v>40</v>
      </c>
      <c r="H29" s="51"/>
      <c r="I29" s="51">
        <f t="shared" si="1"/>
        <v>691.0200000000001</v>
      </c>
      <c r="J29" s="51">
        <f t="shared" si="2"/>
        <v>1382040.0000000002</v>
      </c>
      <c r="K29" s="152"/>
      <c r="L29" s="152"/>
      <c r="M29" s="152"/>
      <c r="N29" s="152"/>
      <c r="O29" s="129">
        <v>628.20000000000005</v>
      </c>
      <c r="P29" s="153">
        <f t="shared" si="3"/>
        <v>1256400</v>
      </c>
      <c r="Q29" s="167" t="b">
        <f t="shared" si="4"/>
        <v>1</v>
      </c>
      <c r="R29" s="167"/>
      <c r="S29" s="136"/>
      <c r="T29" s="55"/>
      <c r="U29" s="51"/>
      <c r="V29" s="51"/>
      <c r="W29" s="262"/>
      <c r="X29" s="51"/>
      <c r="Y29" s="51"/>
      <c r="Z29" s="51"/>
      <c r="AA29" s="51"/>
      <c r="AB29" s="51"/>
      <c r="AC29" s="51"/>
      <c r="AD29" s="51"/>
      <c r="AE29" s="51"/>
      <c r="AF29" s="51"/>
      <c r="AG29" s="51"/>
      <c r="AH29" s="51"/>
      <c r="AI29" s="51"/>
      <c r="AJ29" s="51"/>
      <c r="AK29" s="51">
        <f>G29</f>
        <v>40</v>
      </c>
      <c r="AL29" s="51"/>
      <c r="AM29" s="51">
        <f>ROUND(AK29,-1)</f>
        <v>40</v>
      </c>
    </row>
    <row r="30" spans="1:39" ht="36" customHeight="1" x14ac:dyDescent="0.25">
      <c r="A30" s="257" t="s">
        <v>294</v>
      </c>
      <c r="B30" s="81" t="s">
        <v>198</v>
      </c>
      <c r="C30" s="80"/>
      <c r="D30" s="104"/>
      <c r="E30" s="96"/>
      <c r="F30" s="80">
        <f t="shared" si="0"/>
        <v>0</v>
      </c>
      <c r="G30" s="51"/>
      <c r="H30" s="51"/>
      <c r="I30" s="51">
        <f t="shared" si="1"/>
        <v>0</v>
      </c>
      <c r="J30" s="51">
        <f t="shared" si="2"/>
        <v>0</v>
      </c>
      <c r="K30" s="152"/>
      <c r="L30" s="152"/>
      <c r="M30" s="152"/>
      <c r="N30" s="152"/>
      <c r="O30" s="163"/>
      <c r="P30" s="153">
        <f t="shared" si="3"/>
        <v>0</v>
      </c>
      <c r="Q30" s="167" t="b">
        <f t="shared" si="4"/>
        <v>1</v>
      </c>
      <c r="R30" s="167"/>
      <c r="S30" s="138"/>
      <c r="T30" s="56"/>
      <c r="U30" s="56"/>
      <c r="V30" s="56"/>
      <c r="W30" s="56"/>
      <c r="X30" s="56"/>
      <c r="Y30" s="56"/>
      <c r="Z30" s="56"/>
      <c r="AA30" s="56"/>
      <c r="AB30" s="56"/>
      <c r="AC30" s="56"/>
      <c r="AD30" s="56"/>
      <c r="AE30" s="56"/>
      <c r="AF30" s="56"/>
      <c r="AG30" s="56"/>
      <c r="AH30" s="56"/>
      <c r="AI30" s="56"/>
      <c r="AJ30" s="56"/>
      <c r="AK30" s="56"/>
      <c r="AL30" s="56"/>
      <c r="AM30" s="56"/>
    </row>
    <row r="31" spans="1:39" ht="162" x14ac:dyDescent="0.25">
      <c r="A31" s="258"/>
      <c r="B31" s="79" t="s">
        <v>422</v>
      </c>
      <c r="C31" s="80"/>
      <c r="D31" s="103"/>
      <c r="E31" s="96"/>
      <c r="F31" s="80">
        <f t="shared" si="0"/>
        <v>0</v>
      </c>
      <c r="G31" s="51"/>
      <c r="H31" s="51"/>
      <c r="I31" s="51">
        <f t="shared" si="1"/>
        <v>0</v>
      </c>
      <c r="J31" s="51">
        <f t="shared" si="2"/>
        <v>0</v>
      </c>
      <c r="K31" s="152"/>
      <c r="L31" s="152"/>
      <c r="M31" s="152"/>
      <c r="N31" s="152"/>
      <c r="O31" s="163"/>
      <c r="P31" s="153">
        <f t="shared" si="3"/>
        <v>0</v>
      </c>
      <c r="Q31" s="167" t="b">
        <f t="shared" si="4"/>
        <v>1</v>
      </c>
      <c r="R31" s="167"/>
      <c r="S31" s="138"/>
      <c r="T31" s="56"/>
      <c r="U31" s="56"/>
      <c r="V31" s="56"/>
      <c r="W31" s="56"/>
      <c r="X31" s="56"/>
      <c r="Y31" s="56"/>
      <c r="Z31" s="56"/>
      <c r="AA31" s="56"/>
      <c r="AB31" s="56"/>
      <c r="AC31" s="56"/>
      <c r="AD31" s="56"/>
      <c r="AE31" s="56"/>
      <c r="AF31" s="56"/>
      <c r="AG31" s="56"/>
      <c r="AH31" s="56"/>
      <c r="AI31" s="56"/>
      <c r="AJ31" s="56"/>
      <c r="AK31" s="56"/>
      <c r="AL31" s="56"/>
      <c r="AM31" s="56"/>
    </row>
    <row r="32" spans="1:39" ht="30" customHeight="1" x14ac:dyDescent="0.25">
      <c r="A32" s="71" t="s">
        <v>295</v>
      </c>
      <c r="B32" s="79" t="s">
        <v>273</v>
      </c>
      <c r="C32" s="80" t="s">
        <v>17</v>
      </c>
      <c r="D32" s="103">
        <v>3000</v>
      </c>
      <c r="E32" s="96">
        <v>1689.16</v>
      </c>
      <c r="F32" s="80">
        <f t="shared" si="0"/>
        <v>5067480</v>
      </c>
      <c r="G32" s="51">
        <f>D32/50</f>
        <v>60</v>
      </c>
      <c r="H32" s="51"/>
      <c r="I32" s="51">
        <f t="shared" si="1"/>
        <v>1858.0760000000002</v>
      </c>
      <c r="J32" s="51">
        <f t="shared" si="2"/>
        <v>5574228.0000000009</v>
      </c>
      <c r="K32" s="152"/>
      <c r="L32" s="152"/>
      <c r="M32" s="152"/>
      <c r="N32" s="152"/>
      <c r="O32" s="129">
        <v>1689.16</v>
      </c>
      <c r="P32" s="153">
        <f t="shared" si="3"/>
        <v>5067480</v>
      </c>
      <c r="Q32" s="167" t="b">
        <f t="shared" si="4"/>
        <v>1</v>
      </c>
      <c r="R32" s="167"/>
      <c r="S32" s="136"/>
      <c r="T32" s="55"/>
      <c r="U32" s="51"/>
      <c r="V32" s="51"/>
      <c r="W32" s="51"/>
      <c r="X32" s="51"/>
      <c r="Y32" s="51"/>
      <c r="Z32" s="55"/>
      <c r="AA32" s="51"/>
      <c r="AB32" s="51"/>
      <c r="AC32" s="51"/>
      <c r="AD32" s="51"/>
      <c r="AE32" s="51"/>
      <c r="AF32" s="51"/>
      <c r="AG32" s="51"/>
      <c r="AH32" s="51"/>
      <c r="AI32" s="51"/>
      <c r="AJ32" s="51"/>
      <c r="AK32" s="51" t="e">
        <f>AVERAGE(U32,#REF!)</f>
        <v>#REF!</v>
      </c>
      <c r="AL32" s="51"/>
      <c r="AM32" s="51" t="e">
        <f t="shared" ref="AM32:AM44" si="5">ROUND(AK32,-1)</f>
        <v>#REF!</v>
      </c>
    </row>
    <row r="33" spans="1:39" ht="30" customHeight="1" x14ac:dyDescent="0.25">
      <c r="A33" s="94" t="s">
        <v>296</v>
      </c>
      <c r="B33" s="95" t="s">
        <v>274</v>
      </c>
      <c r="C33" s="97" t="s">
        <v>17</v>
      </c>
      <c r="D33" s="103">
        <v>6500</v>
      </c>
      <c r="E33" s="96">
        <v>1700</v>
      </c>
      <c r="F33" s="80">
        <f t="shared" si="0"/>
        <v>11050000</v>
      </c>
      <c r="G33" s="51">
        <f t="shared" ref="G33:G38" si="6">D33/50</f>
        <v>130</v>
      </c>
      <c r="H33" s="51"/>
      <c r="I33" s="51">
        <f t="shared" si="1"/>
        <v>1870.0000000000002</v>
      </c>
      <c r="J33" s="51">
        <f t="shared" si="2"/>
        <v>12155000.000000002</v>
      </c>
      <c r="K33" s="152"/>
      <c r="L33" s="152"/>
      <c r="M33" s="152"/>
      <c r="N33" s="152"/>
      <c r="O33" s="129">
        <v>1700</v>
      </c>
      <c r="P33" s="153">
        <f t="shared" si="3"/>
        <v>11050000</v>
      </c>
      <c r="Q33" s="167" t="b">
        <f t="shared" si="4"/>
        <v>1</v>
      </c>
      <c r="R33" s="167"/>
      <c r="S33" s="136"/>
      <c r="T33" s="55"/>
      <c r="U33" s="51"/>
      <c r="V33" s="51"/>
      <c r="W33" s="51"/>
      <c r="X33" s="51"/>
      <c r="Y33" s="51"/>
      <c r="Z33" s="55"/>
      <c r="AA33" s="51"/>
      <c r="AB33" s="51"/>
      <c r="AC33" s="51"/>
      <c r="AD33" s="51"/>
      <c r="AE33" s="51"/>
      <c r="AF33" s="51"/>
      <c r="AG33" s="51"/>
      <c r="AH33" s="51"/>
      <c r="AI33" s="51"/>
      <c r="AJ33" s="51"/>
      <c r="AK33" s="51"/>
      <c r="AL33" s="51"/>
      <c r="AM33" s="51"/>
    </row>
    <row r="34" spans="1:39" ht="30" customHeight="1" x14ac:dyDescent="0.25">
      <c r="A34" s="71" t="s">
        <v>297</v>
      </c>
      <c r="B34" s="79" t="s">
        <v>199</v>
      </c>
      <c r="C34" s="80" t="s">
        <v>17</v>
      </c>
      <c r="D34" s="103">
        <v>1000</v>
      </c>
      <c r="E34" s="96">
        <v>1731.04</v>
      </c>
      <c r="F34" s="80">
        <f t="shared" si="0"/>
        <v>1731040</v>
      </c>
      <c r="G34" s="51">
        <f t="shared" si="6"/>
        <v>20</v>
      </c>
      <c r="H34" s="51"/>
      <c r="I34" s="51">
        <f t="shared" si="1"/>
        <v>1904.144</v>
      </c>
      <c r="J34" s="51">
        <f t="shared" si="2"/>
        <v>1904144</v>
      </c>
      <c r="K34" s="152"/>
      <c r="L34" s="152"/>
      <c r="M34" s="152"/>
      <c r="N34" s="152"/>
      <c r="O34" s="129">
        <v>1731.04</v>
      </c>
      <c r="P34" s="153">
        <f t="shared" si="3"/>
        <v>1731040</v>
      </c>
      <c r="Q34" s="167" t="b">
        <f t="shared" si="4"/>
        <v>1</v>
      </c>
      <c r="R34" s="167"/>
      <c r="S34" s="136"/>
      <c r="T34" s="55"/>
      <c r="U34" s="51"/>
      <c r="V34" s="51"/>
      <c r="W34" s="51"/>
      <c r="X34" s="51"/>
      <c r="Y34" s="51"/>
      <c r="Z34" s="55"/>
      <c r="AA34" s="51"/>
      <c r="AB34" s="56"/>
      <c r="AC34" s="56"/>
      <c r="AD34" s="56"/>
      <c r="AE34" s="56"/>
      <c r="AF34" s="56"/>
      <c r="AG34" s="56"/>
      <c r="AH34" s="56"/>
      <c r="AI34" s="56"/>
      <c r="AJ34" s="56"/>
      <c r="AK34" s="51" t="e">
        <f>AVERAGE(U34,#REF!)</f>
        <v>#REF!</v>
      </c>
      <c r="AL34" s="51"/>
      <c r="AM34" s="51" t="e">
        <f t="shared" si="5"/>
        <v>#REF!</v>
      </c>
    </row>
    <row r="35" spans="1:39" ht="30" customHeight="1" x14ac:dyDescent="0.25">
      <c r="A35" s="71"/>
      <c r="B35" s="79"/>
      <c r="C35" s="80"/>
      <c r="D35" s="103"/>
      <c r="E35" s="96"/>
      <c r="F35" s="80">
        <f t="shared" si="0"/>
        <v>0</v>
      </c>
      <c r="G35" s="51"/>
      <c r="H35" s="51"/>
      <c r="I35" s="51">
        <f t="shared" si="1"/>
        <v>0</v>
      </c>
      <c r="J35" s="51">
        <f t="shared" si="2"/>
        <v>0</v>
      </c>
      <c r="K35" s="152"/>
      <c r="L35" s="152"/>
      <c r="M35" s="152"/>
      <c r="N35" s="152"/>
      <c r="O35" s="129"/>
      <c r="P35" s="153">
        <f t="shared" si="3"/>
        <v>0</v>
      </c>
      <c r="Q35" s="167" t="b">
        <f t="shared" si="4"/>
        <v>1</v>
      </c>
      <c r="R35" s="167"/>
      <c r="S35" s="136"/>
      <c r="T35" s="55"/>
      <c r="U35" s="51"/>
      <c r="V35" s="51"/>
      <c r="W35" s="51"/>
      <c r="X35" s="51"/>
      <c r="Y35" s="51"/>
      <c r="Z35" s="55"/>
      <c r="AA35" s="51"/>
      <c r="AB35" s="56"/>
      <c r="AC35" s="56"/>
      <c r="AD35" s="56"/>
      <c r="AE35" s="56"/>
      <c r="AF35" s="56"/>
      <c r="AG35" s="56"/>
      <c r="AH35" s="56"/>
      <c r="AI35" s="56"/>
      <c r="AJ35" s="56"/>
      <c r="AK35" s="51"/>
      <c r="AL35" s="51"/>
      <c r="AM35" s="51"/>
    </row>
    <row r="36" spans="1:39" ht="30" customHeight="1" x14ac:dyDescent="0.25">
      <c r="A36" s="71" t="s">
        <v>298</v>
      </c>
      <c r="B36" s="79" t="s">
        <v>275</v>
      </c>
      <c r="C36" s="83" t="s">
        <v>17</v>
      </c>
      <c r="D36" s="103">
        <v>100</v>
      </c>
      <c r="E36" s="96">
        <v>2240.58</v>
      </c>
      <c r="F36" s="80">
        <f t="shared" si="0"/>
        <v>224058</v>
      </c>
      <c r="G36" s="51">
        <f t="shared" si="6"/>
        <v>2</v>
      </c>
      <c r="H36" s="51"/>
      <c r="I36" s="51">
        <f t="shared" si="1"/>
        <v>2464.6379999999999</v>
      </c>
      <c r="J36" s="51">
        <f t="shared" si="2"/>
        <v>246463.8</v>
      </c>
      <c r="K36" s="152"/>
      <c r="L36" s="152"/>
      <c r="M36" s="152"/>
      <c r="N36" s="152"/>
      <c r="O36" s="129">
        <v>2240.58</v>
      </c>
      <c r="P36" s="153">
        <f t="shared" si="3"/>
        <v>224058</v>
      </c>
      <c r="Q36" s="167" t="b">
        <f t="shared" si="4"/>
        <v>1</v>
      </c>
      <c r="R36" s="167"/>
      <c r="S36" s="137"/>
      <c r="T36" s="55"/>
      <c r="U36" s="51"/>
      <c r="V36" s="51"/>
      <c r="W36" s="56"/>
      <c r="X36" s="51"/>
      <c r="Y36" s="51"/>
      <c r="Z36" s="55"/>
      <c r="AA36" s="51"/>
      <c r="AB36" s="56"/>
      <c r="AC36" s="56"/>
      <c r="AD36" s="56"/>
      <c r="AE36" s="56"/>
      <c r="AF36" s="56"/>
      <c r="AG36" s="56"/>
      <c r="AH36" s="56"/>
      <c r="AI36" s="56"/>
      <c r="AJ36" s="56"/>
      <c r="AK36" s="51" t="e">
        <f>AVERAGE(U36,#REF!)</f>
        <v>#REF!</v>
      </c>
      <c r="AL36" s="56"/>
      <c r="AM36" s="51" t="e">
        <f t="shared" si="5"/>
        <v>#REF!</v>
      </c>
    </row>
    <row r="37" spans="1:39" ht="30" customHeight="1" x14ac:dyDescent="0.25">
      <c r="A37" s="94" t="s">
        <v>299</v>
      </c>
      <c r="B37" s="95" t="s">
        <v>276</v>
      </c>
      <c r="C37" s="114" t="s">
        <v>17</v>
      </c>
      <c r="D37" s="105">
        <v>100</v>
      </c>
      <c r="E37" s="96">
        <v>2260</v>
      </c>
      <c r="F37" s="80">
        <f t="shared" si="0"/>
        <v>226000</v>
      </c>
      <c r="G37" s="51">
        <f t="shared" si="6"/>
        <v>2</v>
      </c>
      <c r="H37" s="51"/>
      <c r="I37" s="51">
        <f t="shared" si="1"/>
        <v>2486</v>
      </c>
      <c r="J37" s="51">
        <f t="shared" si="2"/>
        <v>248600</v>
      </c>
      <c r="K37" s="152"/>
      <c r="L37" s="152"/>
      <c r="M37" s="152"/>
      <c r="N37" s="152"/>
      <c r="O37" s="129">
        <v>2260</v>
      </c>
      <c r="P37" s="153">
        <f t="shared" si="3"/>
        <v>226000</v>
      </c>
      <c r="Q37" s="167" t="b">
        <f t="shared" si="4"/>
        <v>1</v>
      </c>
      <c r="R37" s="167"/>
      <c r="S37" s="137"/>
      <c r="T37" s="55"/>
      <c r="U37" s="51"/>
      <c r="V37" s="51"/>
      <c r="W37" s="56"/>
      <c r="X37" s="51"/>
      <c r="Y37" s="51"/>
      <c r="Z37" s="55"/>
      <c r="AA37" s="51"/>
      <c r="AB37" s="56"/>
      <c r="AC37" s="56"/>
      <c r="AD37" s="56"/>
      <c r="AE37" s="56"/>
      <c r="AF37" s="56"/>
      <c r="AG37" s="56"/>
      <c r="AH37" s="56"/>
      <c r="AI37" s="56"/>
      <c r="AJ37" s="56"/>
      <c r="AK37" s="51"/>
      <c r="AL37" s="56"/>
      <c r="AM37" s="51"/>
    </row>
    <row r="38" spans="1:39" ht="30" customHeight="1" x14ac:dyDescent="0.25">
      <c r="A38" s="71" t="s">
        <v>300</v>
      </c>
      <c r="B38" s="79" t="s">
        <v>200</v>
      </c>
      <c r="C38" s="80" t="s">
        <v>17</v>
      </c>
      <c r="D38" s="103">
        <v>100</v>
      </c>
      <c r="E38" s="96">
        <v>2282.46</v>
      </c>
      <c r="F38" s="80">
        <f t="shared" si="0"/>
        <v>228246</v>
      </c>
      <c r="G38" s="51">
        <f t="shared" si="6"/>
        <v>2</v>
      </c>
      <c r="H38" s="51"/>
      <c r="I38" s="51">
        <f t="shared" si="1"/>
        <v>2510.7060000000001</v>
      </c>
      <c r="J38" s="51">
        <f t="shared" si="2"/>
        <v>251070.6</v>
      </c>
      <c r="K38" s="152"/>
      <c r="L38" s="152"/>
      <c r="M38" s="152"/>
      <c r="N38" s="152"/>
      <c r="O38" s="129">
        <v>2282.46</v>
      </c>
      <c r="P38" s="153">
        <f t="shared" si="3"/>
        <v>228246</v>
      </c>
      <c r="Q38" s="167" t="b">
        <f t="shared" si="4"/>
        <v>1</v>
      </c>
      <c r="R38" s="167"/>
      <c r="S38" s="137"/>
      <c r="T38" s="55"/>
      <c r="U38" s="51"/>
      <c r="V38" s="51"/>
      <c r="W38" s="56"/>
      <c r="X38" s="51"/>
      <c r="Y38" s="51"/>
      <c r="Z38" s="55"/>
      <c r="AA38" s="51"/>
      <c r="AB38" s="56"/>
      <c r="AC38" s="56"/>
      <c r="AD38" s="56"/>
      <c r="AE38" s="56"/>
      <c r="AF38" s="56"/>
      <c r="AG38" s="56"/>
      <c r="AH38" s="56"/>
      <c r="AI38" s="56"/>
      <c r="AJ38" s="56"/>
      <c r="AK38" s="51" t="e">
        <f>AVERAGE(U38,#REF!)</f>
        <v>#REF!</v>
      </c>
      <c r="AL38" s="56"/>
      <c r="AM38" s="51" t="e">
        <f t="shared" si="5"/>
        <v>#REF!</v>
      </c>
    </row>
    <row r="39" spans="1:39" ht="30" customHeight="1" x14ac:dyDescent="0.25">
      <c r="A39" s="143"/>
      <c r="B39" s="79"/>
      <c r="C39" s="80"/>
      <c r="D39" s="103"/>
      <c r="E39" s="96"/>
      <c r="F39" s="80"/>
      <c r="G39" s="51"/>
      <c r="H39" s="51"/>
      <c r="I39" s="51"/>
      <c r="J39" s="51"/>
      <c r="K39" s="152"/>
      <c r="L39" s="152"/>
      <c r="M39" s="152"/>
      <c r="N39" s="152"/>
      <c r="O39" s="163"/>
      <c r="P39" s="153">
        <f t="shared" si="3"/>
        <v>0</v>
      </c>
      <c r="Q39" s="167" t="b">
        <f t="shared" si="4"/>
        <v>1</v>
      </c>
      <c r="R39" s="167"/>
      <c r="S39" s="137"/>
      <c r="T39" s="55"/>
      <c r="U39" s="51"/>
      <c r="V39" s="51"/>
      <c r="W39" s="56"/>
      <c r="X39" s="51"/>
      <c r="Y39" s="51"/>
      <c r="Z39" s="55"/>
      <c r="AA39" s="51"/>
      <c r="AB39" s="56"/>
      <c r="AC39" s="56"/>
      <c r="AD39" s="56"/>
      <c r="AE39" s="56"/>
      <c r="AF39" s="56"/>
      <c r="AG39" s="56"/>
      <c r="AH39" s="56"/>
      <c r="AI39" s="56"/>
      <c r="AJ39" s="56"/>
      <c r="AK39" s="51"/>
      <c r="AL39" s="56"/>
      <c r="AM39" s="51"/>
    </row>
    <row r="40" spans="1:39" ht="30" customHeight="1" x14ac:dyDescent="0.25">
      <c r="A40" s="257" t="s">
        <v>385</v>
      </c>
      <c r="B40" s="81" t="s">
        <v>356</v>
      </c>
      <c r="C40" s="80"/>
      <c r="D40" s="103"/>
      <c r="E40" s="96"/>
      <c r="F40" s="80"/>
      <c r="G40" s="51"/>
      <c r="H40" s="51"/>
      <c r="I40" s="51"/>
      <c r="J40" s="51"/>
      <c r="K40" s="152"/>
      <c r="L40" s="152"/>
      <c r="M40" s="152"/>
      <c r="N40" s="152"/>
      <c r="O40" s="163"/>
      <c r="P40" s="153">
        <f t="shared" si="3"/>
        <v>0</v>
      </c>
      <c r="Q40" s="167" t="b">
        <f t="shared" si="4"/>
        <v>1</v>
      </c>
      <c r="R40" s="167"/>
      <c r="S40" s="137"/>
      <c r="T40" s="55"/>
      <c r="U40" s="51"/>
      <c r="V40" s="51"/>
      <c r="W40" s="56"/>
      <c r="X40" s="51"/>
      <c r="Y40" s="51"/>
      <c r="Z40" s="55"/>
      <c r="AA40" s="51"/>
      <c r="AB40" s="56"/>
      <c r="AC40" s="56"/>
      <c r="AD40" s="56"/>
      <c r="AE40" s="56"/>
      <c r="AF40" s="56"/>
      <c r="AG40" s="56"/>
      <c r="AH40" s="56"/>
      <c r="AI40" s="56"/>
      <c r="AJ40" s="56"/>
      <c r="AK40" s="51"/>
      <c r="AL40" s="56"/>
      <c r="AM40" s="51"/>
    </row>
    <row r="41" spans="1:39" ht="101.25" x14ac:dyDescent="0.25">
      <c r="A41" s="258"/>
      <c r="B41" s="79" t="s">
        <v>416</v>
      </c>
      <c r="C41" s="80" t="s">
        <v>358</v>
      </c>
      <c r="D41" s="103">
        <v>500</v>
      </c>
      <c r="E41" s="129">
        <v>1786.88</v>
      </c>
      <c r="F41" s="80">
        <f>D41*E41</f>
        <v>893440</v>
      </c>
      <c r="G41" s="51"/>
      <c r="H41" s="51"/>
      <c r="I41" s="51"/>
      <c r="J41" s="51"/>
      <c r="K41" s="152"/>
      <c r="L41" s="152">
        <v>3500</v>
      </c>
      <c r="M41" s="152"/>
      <c r="N41" s="152"/>
      <c r="O41" s="163">
        <v>3500</v>
      </c>
      <c r="P41" s="153">
        <f t="shared" si="3"/>
        <v>1750000</v>
      </c>
      <c r="Q41" s="167" t="b">
        <f t="shared" si="4"/>
        <v>0</v>
      </c>
      <c r="R41" s="167"/>
      <c r="S41" s="137">
        <v>3500</v>
      </c>
      <c r="T41" s="55" t="s">
        <v>405</v>
      </c>
      <c r="U41" s="51"/>
      <c r="V41" s="51"/>
      <c r="W41" s="56"/>
      <c r="X41" s="51"/>
      <c r="Y41" s="51"/>
      <c r="Z41" s="55"/>
      <c r="AA41" s="51"/>
      <c r="AB41" s="56"/>
      <c r="AC41" s="56"/>
      <c r="AD41" s="56"/>
      <c r="AE41" s="56"/>
      <c r="AF41" s="56"/>
      <c r="AG41" s="56"/>
      <c r="AH41" s="56"/>
      <c r="AI41" s="56"/>
      <c r="AJ41" s="56"/>
      <c r="AK41" s="51"/>
      <c r="AL41" s="56"/>
      <c r="AM41" s="51"/>
    </row>
    <row r="42" spans="1:39" ht="30" customHeight="1" x14ac:dyDescent="0.25">
      <c r="A42" s="143"/>
      <c r="B42" s="79"/>
      <c r="C42" s="80"/>
      <c r="D42" s="103"/>
      <c r="E42" s="96"/>
      <c r="F42" s="80"/>
      <c r="G42" s="51"/>
      <c r="H42" s="51"/>
      <c r="I42" s="51"/>
      <c r="J42" s="51"/>
      <c r="K42" s="152"/>
      <c r="L42" s="152"/>
      <c r="M42" s="152"/>
      <c r="N42" s="152"/>
      <c r="O42" s="163"/>
      <c r="P42" s="153">
        <f t="shared" si="3"/>
        <v>0</v>
      </c>
      <c r="Q42" s="167" t="b">
        <f t="shared" si="4"/>
        <v>1</v>
      </c>
      <c r="R42" s="167"/>
      <c r="S42" s="137"/>
      <c r="T42" s="55"/>
      <c r="U42" s="51"/>
      <c r="V42" s="51"/>
      <c r="W42" s="56"/>
      <c r="X42" s="51"/>
      <c r="Y42" s="51"/>
      <c r="Z42" s="55"/>
      <c r="AA42" s="51"/>
      <c r="AB42" s="56"/>
      <c r="AC42" s="56"/>
      <c r="AD42" s="56"/>
      <c r="AE42" s="56"/>
      <c r="AF42" s="56"/>
      <c r="AG42" s="56"/>
      <c r="AH42" s="56"/>
      <c r="AI42" s="56"/>
      <c r="AJ42" s="56"/>
      <c r="AK42" s="51"/>
      <c r="AL42" s="56"/>
      <c r="AM42" s="51"/>
    </row>
    <row r="43" spans="1:39" ht="26.25" customHeight="1" x14ac:dyDescent="0.25">
      <c r="A43" s="264" t="s">
        <v>301</v>
      </c>
      <c r="B43" s="81" t="s">
        <v>201</v>
      </c>
      <c r="C43" s="80"/>
      <c r="D43" s="104"/>
      <c r="E43" s="96"/>
      <c r="F43" s="80">
        <f t="shared" si="0"/>
        <v>0</v>
      </c>
      <c r="G43" s="51"/>
      <c r="H43" s="51"/>
      <c r="I43" s="51">
        <f t="shared" si="1"/>
        <v>0</v>
      </c>
      <c r="J43" s="51">
        <f t="shared" si="2"/>
        <v>0</v>
      </c>
      <c r="K43" s="152"/>
      <c r="L43" s="152"/>
      <c r="M43" s="152"/>
      <c r="N43" s="152"/>
      <c r="O43" s="163"/>
      <c r="P43" s="153">
        <f t="shared" si="3"/>
        <v>0</v>
      </c>
      <c r="Q43" s="167" t="b">
        <f t="shared" si="4"/>
        <v>1</v>
      </c>
      <c r="R43" s="167"/>
      <c r="S43" s="136"/>
      <c r="T43" s="55"/>
      <c r="U43" s="51"/>
      <c r="V43" s="51"/>
      <c r="W43" s="56"/>
      <c r="X43" s="51"/>
      <c r="Y43" s="51"/>
      <c r="Z43" s="55"/>
      <c r="AA43" s="51"/>
      <c r="AB43" s="56"/>
      <c r="AC43" s="56"/>
      <c r="AD43" s="56"/>
      <c r="AE43" s="56"/>
      <c r="AF43" s="56"/>
      <c r="AG43" s="56"/>
      <c r="AH43" s="56"/>
      <c r="AI43" s="56"/>
      <c r="AJ43" s="56"/>
      <c r="AK43" s="56"/>
      <c r="AL43" s="56"/>
      <c r="AM43" s="51">
        <f t="shared" si="5"/>
        <v>0</v>
      </c>
    </row>
    <row r="44" spans="1:39" ht="66" customHeight="1" x14ac:dyDescent="0.25">
      <c r="A44" s="265"/>
      <c r="B44" s="79" t="s">
        <v>381</v>
      </c>
      <c r="C44" s="80"/>
      <c r="D44" s="103"/>
      <c r="E44" s="96"/>
      <c r="F44" s="80">
        <f t="shared" si="0"/>
        <v>0</v>
      </c>
      <c r="G44" s="51"/>
      <c r="H44" s="51">
        <f>D27+D28+D29+D32+D33+D34</f>
        <v>24000</v>
      </c>
      <c r="I44" s="51">
        <f t="shared" si="1"/>
        <v>0</v>
      </c>
      <c r="J44" s="51">
        <f t="shared" si="2"/>
        <v>0</v>
      </c>
      <c r="K44" s="152"/>
      <c r="L44" s="152"/>
      <c r="M44" s="152"/>
      <c r="N44" s="152"/>
      <c r="O44" s="163"/>
      <c r="P44" s="153">
        <f t="shared" si="3"/>
        <v>0</v>
      </c>
      <c r="Q44" s="167" t="b">
        <f t="shared" si="4"/>
        <v>1</v>
      </c>
      <c r="R44" s="167"/>
      <c r="S44" s="136"/>
      <c r="T44" s="55"/>
      <c r="U44" s="51"/>
      <c r="V44" s="51"/>
      <c r="W44" s="56"/>
      <c r="X44" s="51"/>
      <c r="Y44" s="51"/>
      <c r="Z44" s="55"/>
      <c r="AA44" s="51"/>
      <c r="AB44" s="56"/>
      <c r="AC44" s="56"/>
      <c r="AD44" s="56"/>
      <c r="AE44" s="56"/>
      <c r="AF44" s="56"/>
      <c r="AG44" s="56"/>
      <c r="AH44" s="56"/>
      <c r="AI44" s="56"/>
      <c r="AJ44" s="56"/>
      <c r="AK44" s="56"/>
      <c r="AL44" s="56"/>
      <c r="AM44" s="51">
        <f t="shared" si="5"/>
        <v>0</v>
      </c>
    </row>
    <row r="45" spans="1:39" ht="29.1" customHeight="1" x14ac:dyDescent="0.25">
      <c r="A45" s="71" t="s">
        <v>302</v>
      </c>
      <c r="B45" s="79" t="s">
        <v>203</v>
      </c>
      <c r="C45" s="80" t="s">
        <v>204</v>
      </c>
      <c r="D45" s="103">
        <v>500</v>
      </c>
      <c r="E45" s="129">
        <v>928.34</v>
      </c>
      <c r="F45" s="80">
        <f t="shared" si="0"/>
        <v>464170</v>
      </c>
      <c r="G45" s="51"/>
      <c r="H45" s="51"/>
      <c r="I45" s="51">
        <f t="shared" si="1"/>
        <v>1021.1740000000001</v>
      </c>
      <c r="J45" s="51">
        <f t="shared" si="2"/>
        <v>510587.00000000006</v>
      </c>
      <c r="K45" s="152"/>
      <c r="L45" s="152"/>
      <c r="M45" s="152"/>
      <c r="N45" s="152">
        <v>1200</v>
      </c>
      <c r="O45" s="163">
        <v>1200</v>
      </c>
      <c r="P45" s="153">
        <f t="shared" si="3"/>
        <v>600000</v>
      </c>
      <c r="Q45" s="167" t="b">
        <f t="shared" si="4"/>
        <v>0</v>
      </c>
      <c r="R45" s="167"/>
      <c r="S45" s="136">
        <v>1200</v>
      </c>
      <c r="T45" s="55" t="s">
        <v>406</v>
      </c>
      <c r="U45" s="51"/>
      <c r="V45" s="51"/>
      <c r="W45" s="51"/>
      <c r="X45" s="51"/>
      <c r="Y45" s="51"/>
      <c r="Z45" s="55"/>
      <c r="AA45" s="51"/>
      <c r="AB45" s="56"/>
      <c r="AC45" s="56"/>
      <c r="AD45" s="56"/>
      <c r="AE45" s="56"/>
      <c r="AF45" s="56"/>
      <c r="AG45" s="56"/>
      <c r="AH45" s="56"/>
      <c r="AI45" s="56"/>
      <c r="AJ45" s="56"/>
      <c r="AK45" s="56" t="e">
        <f>AVERAGE(U45,G45)</f>
        <v>#DIV/0!</v>
      </c>
      <c r="AM45" s="51" t="e">
        <f>ROUND(AK45,2)</f>
        <v>#DIV/0!</v>
      </c>
    </row>
    <row r="46" spans="1:39" x14ac:dyDescent="0.25">
      <c r="A46" s="143"/>
      <c r="B46" s="133"/>
      <c r="C46" s="80"/>
      <c r="D46" s="103"/>
      <c r="E46" s="96"/>
      <c r="F46" s="80"/>
      <c r="G46" s="51"/>
      <c r="H46" s="51"/>
      <c r="I46" s="51"/>
      <c r="J46" s="51"/>
      <c r="K46" s="152"/>
      <c r="L46" s="152"/>
      <c r="M46" s="152"/>
      <c r="N46" s="152"/>
      <c r="O46" s="163"/>
      <c r="P46" s="153">
        <f t="shared" si="3"/>
        <v>0</v>
      </c>
      <c r="Q46" s="167" t="b">
        <f t="shared" si="4"/>
        <v>1</v>
      </c>
      <c r="R46" s="167"/>
      <c r="S46" s="136"/>
      <c r="T46" s="55"/>
      <c r="U46" s="51"/>
      <c r="V46" s="51"/>
      <c r="W46" s="51"/>
      <c r="X46" s="51"/>
      <c r="Y46" s="51"/>
      <c r="Z46" s="55"/>
      <c r="AA46" s="51"/>
      <c r="AB46" s="56"/>
      <c r="AC46" s="56"/>
      <c r="AD46" s="56"/>
      <c r="AE46" s="56"/>
      <c r="AF46" s="56"/>
      <c r="AG46" s="56"/>
      <c r="AH46" s="56"/>
      <c r="AI46" s="56"/>
      <c r="AJ46" s="56"/>
      <c r="AK46" s="56"/>
      <c r="AM46" s="51"/>
    </row>
    <row r="47" spans="1:39" ht="28.5" customHeight="1" x14ac:dyDescent="0.25">
      <c r="A47" s="264" t="s">
        <v>303</v>
      </c>
      <c r="B47" s="81" t="s">
        <v>205</v>
      </c>
      <c r="C47" s="80"/>
      <c r="D47" s="104"/>
      <c r="E47" s="96"/>
      <c r="F47" s="80">
        <f t="shared" si="0"/>
        <v>0</v>
      </c>
      <c r="G47" s="51"/>
      <c r="H47" s="51"/>
      <c r="I47" s="51">
        <f t="shared" si="1"/>
        <v>0</v>
      </c>
      <c r="J47" s="51">
        <f t="shared" si="2"/>
        <v>0</v>
      </c>
      <c r="K47" s="152"/>
      <c r="L47" s="152"/>
      <c r="M47" s="152"/>
      <c r="N47" s="152"/>
      <c r="O47" s="163"/>
      <c r="P47" s="153">
        <f t="shared" si="3"/>
        <v>0</v>
      </c>
      <c r="Q47" s="167" t="b">
        <f t="shared" si="4"/>
        <v>1</v>
      </c>
      <c r="R47" s="167"/>
      <c r="S47" s="136"/>
      <c r="T47" s="55"/>
      <c r="U47" s="51"/>
      <c r="V47" s="51"/>
      <c r="W47" s="56"/>
      <c r="X47" s="51"/>
      <c r="Y47" s="51"/>
      <c r="Z47" s="55"/>
      <c r="AA47" s="51"/>
      <c r="AB47" s="56"/>
      <c r="AC47" s="56"/>
      <c r="AD47" s="56"/>
      <c r="AE47" s="56"/>
      <c r="AF47" s="56"/>
      <c r="AG47" s="56"/>
      <c r="AH47" s="56"/>
      <c r="AI47" s="56"/>
      <c r="AJ47" s="56"/>
      <c r="AK47" s="56"/>
      <c r="AL47" s="56"/>
      <c r="AM47" s="51">
        <f>ROUNDUP(AK47,-1)</f>
        <v>0</v>
      </c>
    </row>
    <row r="48" spans="1:39" ht="108" customHeight="1" x14ac:dyDescent="0.25">
      <c r="A48" s="265"/>
      <c r="B48" s="79" t="s">
        <v>206</v>
      </c>
      <c r="C48" s="80"/>
      <c r="D48" s="103"/>
      <c r="E48" s="96"/>
      <c r="F48" s="80">
        <f t="shared" si="0"/>
        <v>0</v>
      </c>
      <c r="G48" s="51"/>
      <c r="H48" s="51"/>
      <c r="I48" s="51">
        <f t="shared" si="1"/>
        <v>0</v>
      </c>
      <c r="J48" s="51">
        <f t="shared" si="2"/>
        <v>0</v>
      </c>
      <c r="K48" s="152"/>
      <c r="L48" s="152"/>
      <c r="M48" s="152"/>
      <c r="N48" s="152"/>
      <c r="O48" s="163"/>
      <c r="P48" s="153">
        <f t="shared" si="3"/>
        <v>0</v>
      </c>
      <c r="Q48" s="167" t="b">
        <f t="shared" si="4"/>
        <v>1</v>
      </c>
      <c r="R48" s="167"/>
      <c r="S48" s="136"/>
      <c r="T48" s="55"/>
      <c r="U48" s="51"/>
      <c r="V48" s="51"/>
      <c r="W48" s="56"/>
      <c r="X48" s="51"/>
      <c r="Y48" s="51"/>
      <c r="Z48" s="55"/>
      <c r="AA48" s="51"/>
      <c r="AB48" s="56"/>
      <c r="AC48" s="56"/>
      <c r="AD48" s="56"/>
      <c r="AE48" s="56"/>
      <c r="AF48" s="56"/>
      <c r="AG48" s="56"/>
      <c r="AH48" s="56"/>
      <c r="AI48" s="56"/>
      <c r="AJ48" s="56"/>
      <c r="AK48" s="56"/>
      <c r="AL48" s="56"/>
      <c r="AM48" s="51">
        <f>ROUND(AK48,-1)</f>
        <v>0</v>
      </c>
    </row>
    <row r="49" spans="1:39" ht="39" customHeight="1" x14ac:dyDescent="0.25">
      <c r="A49" s="71" t="s">
        <v>304</v>
      </c>
      <c r="B49" s="79" t="s">
        <v>386</v>
      </c>
      <c r="C49" s="80" t="s">
        <v>47</v>
      </c>
      <c r="D49" s="103">
        <v>480</v>
      </c>
      <c r="E49" s="129">
        <v>369.94</v>
      </c>
      <c r="F49" s="80">
        <f t="shared" si="0"/>
        <v>177571.20000000001</v>
      </c>
      <c r="G49" s="51"/>
      <c r="H49" s="51">
        <f>H44/150</f>
        <v>160</v>
      </c>
      <c r="I49" s="51">
        <f t="shared" si="1"/>
        <v>406.93400000000003</v>
      </c>
      <c r="J49" s="51">
        <f t="shared" si="2"/>
        <v>195328.32</v>
      </c>
      <c r="K49" s="152"/>
      <c r="L49" s="152">
        <v>849</v>
      </c>
      <c r="M49" s="152"/>
      <c r="N49" s="152"/>
      <c r="O49" s="163">
        <v>849</v>
      </c>
      <c r="P49" s="153">
        <f t="shared" si="3"/>
        <v>407520</v>
      </c>
      <c r="Q49" s="167" t="b">
        <f t="shared" si="4"/>
        <v>0</v>
      </c>
      <c r="R49" s="167"/>
      <c r="S49" s="136">
        <v>849</v>
      </c>
      <c r="T49" s="270" t="s">
        <v>363</v>
      </c>
      <c r="U49" s="51"/>
      <c r="V49" s="51"/>
      <c r="W49" s="56"/>
      <c r="X49" s="51"/>
      <c r="Y49" s="51"/>
      <c r="Z49" s="55"/>
      <c r="AA49" s="51"/>
      <c r="AB49" s="56"/>
      <c r="AC49" s="56"/>
      <c r="AD49" s="56"/>
      <c r="AE49" s="56"/>
      <c r="AF49" s="56"/>
      <c r="AG49" s="56"/>
      <c r="AH49" s="56"/>
      <c r="AI49" s="56"/>
      <c r="AJ49" s="56"/>
      <c r="AK49" s="56">
        <f>U49</f>
        <v>0</v>
      </c>
      <c r="AL49" s="56"/>
      <c r="AM49" s="51">
        <f>ROUND(AK49,-1)</f>
        <v>0</v>
      </c>
    </row>
    <row r="50" spans="1:39" ht="41.1" customHeight="1" x14ac:dyDescent="0.25">
      <c r="A50" s="71" t="s">
        <v>305</v>
      </c>
      <c r="B50" s="79" t="s">
        <v>387</v>
      </c>
      <c r="C50" s="80" t="s">
        <v>47</v>
      </c>
      <c r="D50" s="103">
        <v>160</v>
      </c>
      <c r="E50" s="129">
        <v>1535.6</v>
      </c>
      <c r="F50" s="80">
        <f t="shared" si="0"/>
        <v>245696</v>
      </c>
      <c r="G50" s="51"/>
      <c r="H50" s="51"/>
      <c r="I50" s="51">
        <f t="shared" si="1"/>
        <v>1689.16</v>
      </c>
      <c r="J50" s="51">
        <f t="shared" si="2"/>
        <v>270265.60000000003</v>
      </c>
      <c r="K50" s="152"/>
      <c r="L50" s="152">
        <v>3183</v>
      </c>
      <c r="M50" s="152"/>
      <c r="N50" s="152"/>
      <c r="O50" s="163">
        <v>3183</v>
      </c>
      <c r="P50" s="153">
        <f t="shared" si="3"/>
        <v>509280</v>
      </c>
      <c r="Q50" s="167" t="b">
        <f t="shared" si="4"/>
        <v>0</v>
      </c>
      <c r="R50" s="167"/>
      <c r="S50" s="136">
        <v>3183</v>
      </c>
      <c r="T50" s="270"/>
      <c r="U50" s="51"/>
      <c r="V50" s="51"/>
      <c r="W50" s="56"/>
      <c r="X50" s="51"/>
      <c r="Y50" s="51"/>
      <c r="Z50" s="55"/>
      <c r="AA50" s="51"/>
      <c r="AB50" s="56"/>
      <c r="AC50" s="56"/>
      <c r="AD50" s="56"/>
      <c r="AE50" s="56"/>
      <c r="AF50" s="56"/>
      <c r="AG50" s="56"/>
      <c r="AH50" s="56"/>
      <c r="AI50" s="56"/>
      <c r="AJ50" s="56"/>
      <c r="AK50" s="51" t="e">
        <f>AVERAGE(U50,G50)</f>
        <v>#DIV/0!</v>
      </c>
      <c r="AL50" s="56"/>
      <c r="AM50" s="51" t="e">
        <f>ROUND(AK50,-2)</f>
        <v>#DIV/0!</v>
      </c>
    </row>
    <row r="51" spans="1:39" ht="36.950000000000003" customHeight="1" x14ac:dyDescent="0.25">
      <c r="A51" s="71" t="s">
        <v>306</v>
      </c>
      <c r="B51" s="79" t="s">
        <v>388</v>
      </c>
      <c r="C51" s="80" t="s">
        <v>47</v>
      </c>
      <c r="D51" s="103">
        <v>500</v>
      </c>
      <c r="E51" s="129">
        <v>209.4</v>
      </c>
      <c r="F51" s="80">
        <f t="shared" si="0"/>
        <v>104700</v>
      </c>
      <c r="G51" s="51"/>
      <c r="H51" s="51"/>
      <c r="I51" s="51">
        <f t="shared" si="1"/>
        <v>230.34000000000003</v>
      </c>
      <c r="J51" s="51">
        <f t="shared" si="2"/>
        <v>115170.00000000001</v>
      </c>
      <c r="K51" s="152"/>
      <c r="L51" s="152">
        <v>582</v>
      </c>
      <c r="M51" s="152"/>
      <c r="N51" s="152"/>
      <c r="O51" s="163">
        <v>582</v>
      </c>
      <c r="P51" s="153">
        <f t="shared" si="3"/>
        <v>291000</v>
      </c>
      <c r="Q51" s="167" t="b">
        <f t="shared" si="4"/>
        <v>0</v>
      </c>
      <c r="R51" s="167"/>
      <c r="S51" s="136">
        <v>582</v>
      </c>
      <c r="T51" s="270"/>
      <c r="U51" s="51"/>
      <c r="V51" s="51"/>
      <c r="W51" s="56"/>
      <c r="X51" s="51"/>
      <c r="Y51" s="51"/>
      <c r="Z51" s="55"/>
      <c r="AA51" s="51"/>
      <c r="AB51" s="56"/>
      <c r="AC51" s="56"/>
      <c r="AD51" s="56"/>
      <c r="AE51" s="56"/>
      <c r="AF51" s="56"/>
      <c r="AG51" s="56"/>
      <c r="AH51" s="56"/>
      <c r="AI51" s="56"/>
      <c r="AJ51" s="56"/>
      <c r="AK51" s="51" t="e">
        <f>AVERAGE(U51,G51)</f>
        <v>#DIV/0!</v>
      </c>
      <c r="AL51" s="56"/>
      <c r="AM51" s="51" t="e">
        <f t="shared" ref="AM51:AM58" si="7">ROUND(AK51,-1)</f>
        <v>#DIV/0!</v>
      </c>
    </row>
    <row r="52" spans="1:39" s="52" customFormat="1" ht="36.75" customHeight="1" x14ac:dyDescent="0.25">
      <c r="A52" s="259" t="s">
        <v>210</v>
      </c>
      <c r="B52" s="260"/>
      <c r="C52" s="78"/>
      <c r="D52" s="104"/>
      <c r="E52" s="125"/>
      <c r="F52" s="80">
        <f t="shared" si="0"/>
        <v>0</v>
      </c>
      <c r="G52" s="51"/>
      <c r="H52" s="51"/>
      <c r="I52" s="51">
        <f t="shared" si="1"/>
        <v>0</v>
      </c>
      <c r="J52" s="51">
        <f t="shared" si="2"/>
        <v>0</v>
      </c>
      <c r="K52" s="152"/>
      <c r="L52" s="152"/>
      <c r="M52" s="152"/>
      <c r="N52" s="152"/>
      <c r="O52" s="163"/>
      <c r="P52" s="153">
        <f t="shared" si="3"/>
        <v>0</v>
      </c>
      <c r="Q52" s="167" t="b">
        <f t="shared" si="4"/>
        <v>1</v>
      </c>
      <c r="R52" s="167"/>
      <c r="S52" s="136"/>
      <c r="T52" s="55"/>
      <c r="U52" s="51"/>
      <c r="V52" s="51"/>
      <c r="W52" s="56"/>
      <c r="X52" s="51"/>
      <c r="Y52" s="51"/>
      <c r="Z52" s="55"/>
      <c r="AA52" s="51"/>
      <c r="AB52" s="56"/>
      <c r="AC52" s="56"/>
      <c r="AD52" s="56"/>
      <c r="AE52" s="56"/>
      <c r="AF52" s="56"/>
      <c r="AG52" s="56"/>
      <c r="AH52" s="56"/>
      <c r="AI52" s="56"/>
      <c r="AJ52" s="56"/>
      <c r="AK52" s="56"/>
      <c r="AL52" s="56"/>
      <c r="AM52" s="51">
        <f t="shared" si="7"/>
        <v>0</v>
      </c>
    </row>
    <row r="53" spans="1:39" ht="36.75" customHeight="1" x14ac:dyDescent="0.25">
      <c r="A53" s="264" t="s">
        <v>135</v>
      </c>
      <c r="B53" s="81" t="s">
        <v>211</v>
      </c>
      <c r="C53" s="80"/>
      <c r="D53" s="104"/>
      <c r="E53" s="96"/>
      <c r="F53" s="80">
        <f t="shared" si="0"/>
        <v>0</v>
      </c>
      <c r="G53" s="51"/>
      <c r="H53" s="51"/>
      <c r="I53" s="51">
        <f t="shared" si="1"/>
        <v>0</v>
      </c>
      <c r="J53" s="51">
        <f t="shared" si="2"/>
        <v>0</v>
      </c>
      <c r="K53" s="152"/>
      <c r="L53" s="152"/>
      <c r="M53" s="152"/>
      <c r="N53" s="152"/>
      <c r="O53" s="163"/>
      <c r="P53" s="153">
        <f t="shared" si="3"/>
        <v>0</v>
      </c>
      <c r="Q53" s="167" t="b">
        <f t="shared" si="4"/>
        <v>1</v>
      </c>
      <c r="R53" s="167"/>
      <c r="S53" s="136"/>
      <c r="T53" s="55"/>
      <c r="U53" s="51"/>
      <c r="V53" s="51"/>
      <c r="W53" s="56"/>
      <c r="X53" s="51"/>
      <c r="Y53" s="51"/>
      <c r="Z53" s="55"/>
      <c r="AA53" s="51"/>
      <c r="AB53" s="56"/>
      <c r="AC53" s="56"/>
      <c r="AD53" s="56"/>
      <c r="AE53" s="56"/>
      <c r="AF53" s="56"/>
      <c r="AG53" s="56"/>
      <c r="AH53" s="56"/>
      <c r="AI53" s="56"/>
      <c r="AJ53" s="56"/>
      <c r="AK53" s="56"/>
      <c r="AL53" s="56"/>
      <c r="AM53" s="51">
        <f t="shared" si="7"/>
        <v>0</v>
      </c>
    </row>
    <row r="54" spans="1:39" ht="222.75" x14ac:dyDescent="0.25">
      <c r="A54" s="267"/>
      <c r="B54" s="79" t="s">
        <v>419</v>
      </c>
      <c r="C54" s="80"/>
      <c r="D54" s="103"/>
      <c r="E54" s="96"/>
      <c r="F54" s="80">
        <f t="shared" si="0"/>
        <v>0</v>
      </c>
      <c r="G54" s="51"/>
      <c r="H54" s="51"/>
      <c r="I54" s="51">
        <f t="shared" si="1"/>
        <v>0</v>
      </c>
      <c r="J54" s="51">
        <f t="shared" si="2"/>
        <v>0</v>
      </c>
      <c r="K54" s="152"/>
      <c r="L54" s="152"/>
      <c r="M54" s="152"/>
      <c r="N54" s="152"/>
      <c r="O54" s="163"/>
      <c r="P54" s="153">
        <f t="shared" si="3"/>
        <v>0</v>
      </c>
      <c r="Q54" s="167" t="b">
        <f t="shared" si="4"/>
        <v>1</v>
      </c>
      <c r="R54" s="167"/>
      <c r="S54" s="136"/>
      <c r="T54" s="55"/>
      <c r="U54" s="51"/>
      <c r="V54" s="51"/>
      <c r="W54" s="56"/>
      <c r="X54" s="51"/>
      <c r="Y54" s="51"/>
      <c r="Z54" s="55"/>
      <c r="AA54" s="51"/>
      <c r="AB54" s="56"/>
      <c r="AC54" s="56"/>
      <c r="AD54" s="56"/>
      <c r="AE54" s="56"/>
      <c r="AF54" s="56"/>
      <c r="AG54" s="56"/>
      <c r="AH54" s="56"/>
      <c r="AI54" s="56"/>
      <c r="AJ54" s="56"/>
      <c r="AK54" s="56"/>
      <c r="AL54" s="56"/>
      <c r="AM54" s="51">
        <f t="shared" si="7"/>
        <v>0</v>
      </c>
    </row>
    <row r="55" spans="1:39" ht="101.25" x14ac:dyDescent="0.25">
      <c r="A55" s="267"/>
      <c r="B55" s="79" t="s">
        <v>213</v>
      </c>
      <c r="C55" s="80"/>
      <c r="D55" s="103"/>
      <c r="E55" s="96"/>
      <c r="F55" s="80">
        <f t="shared" si="0"/>
        <v>0</v>
      </c>
      <c r="G55" s="51"/>
      <c r="H55" s="51"/>
      <c r="I55" s="51">
        <f t="shared" si="1"/>
        <v>0</v>
      </c>
      <c r="J55" s="51">
        <f t="shared" si="2"/>
        <v>0</v>
      </c>
      <c r="K55" s="152"/>
      <c r="L55" s="152"/>
      <c r="M55" s="152"/>
      <c r="N55" s="152"/>
      <c r="O55" s="163"/>
      <c r="P55" s="153">
        <f t="shared" si="3"/>
        <v>0</v>
      </c>
      <c r="Q55" s="167" t="b">
        <f t="shared" si="4"/>
        <v>1</v>
      </c>
      <c r="R55" s="167"/>
      <c r="S55" s="136"/>
      <c r="T55" s="55"/>
      <c r="U55" s="51"/>
      <c r="V55" s="51"/>
      <c r="W55" s="56"/>
      <c r="X55" s="51"/>
      <c r="Y55" s="51"/>
      <c r="Z55" s="55"/>
      <c r="AA55" s="51"/>
      <c r="AB55" s="56"/>
      <c r="AC55" s="56"/>
      <c r="AD55" s="56"/>
      <c r="AE55" s="56"/>
      <c r="AF55" s="56"/>
      <c r="AG55" s="56"/>
      <c r="AH55" s="56"/>
      <c r="AI55" s="56"/>
      <c r="AJ55" s="56"/>
      <c r="AK55" s="56"/>
      <c r="AL55" s="56"/>
      <c r="AM55" s="51">
        <f t="shared" si="7"/>
        <v>0</v>
      </c>
    </row>
    <row r="56" spans="1:39" ht="73.5" customHeight="1" x14ac:dyDescent="0.25">
      <c r="A56" s="267"/>
      <c r="B56" s="79" t="s">
        <v>214</v>
      </c>
      <c r="C56" s="80"/>
      <c r="D56" s="103"/>
      <c r="E56" s="96"/>
      <c r="F56" s="80">
        <f t="shared" si="0"/>
        <v>0</v>
      </c>
      <c r="G56" s="51"/>
      <c r="H56" s="51"/>
      <c r="I56" s="51">
        <f t="shared" si="1"/>
        <v>0</v>
      </c>
      <c r="J56" s="51">
        <f t="shared" si="2"/>
        <v>0</v>
      </c>
      <c r="K56" s="152"/>
      <c r="L56" s="152"/>
      <c r="M56" s="152"/>
      <c r="N56" s="152"/>
      <c r="O56" s="163"/>
      <c r="P56" s="153">
        <f t="shared" si="3"/>
        <v>0</v>
      </c>
      <c r="Q56" s="167" t="b">
        <f t="shared" si="4"/>
        <v>1</v>
      </c>
      <c r="R56" s="167"/>
      <c r="S56" s="136"/>
      <c r="T56" s="55"/>
      <c r="U56" s="51"/>
      <c r="V56" s="51"/>
      <c r="W56" s="56"/>
      <c r="X56" s="51"/>
      <c r="Y56" s="51"/>
      <c r="Z56" s="55"/>
      <c r="AA56" s="51"/>
      <c r="AB56" s="56"/>
      <c r="AC56" s="56"/>
      <c r="AD56" s="56"/>
      <c r="AE56" s="56"/>
      <c r="AF56" s="56"/>
      <c r="AG56" s="56"/>
      <c r="AH56" s="56"/>
      <c r="AI56" s="56"/>
      <c r="AJ56" s="56"/>
      <c r="AK56" s="56"/>
      <c r="AL56" s="56"/>
      <c r="AM56" s="51">
        <f t="shared" si="7"/>
        <v>0</v>
      </c>
    </row>
    <row r="57" spans="1:39" ht="141" customHeight="1" x14ac:dyDescent="0.25">
      <c r="A57" s="265"/>
      <c r="B57" s="79" t="s">
        <v>269</v>
      </c>
      <c r="C57" s="80"/>
      <c r="D57" s="103"/>
      <c r="E57" s="96"/>
      <c r="F57" s="80">
        <f t="shared" si="0"/>
        <v>0</v>
      </c>
      <c r="G57" s="51"/>
      <c r="H57" s="51"/>
      <c r="I57" s="51">
        <f t="shared" si="1"/>
        <v>0</v>
      </c>
      <c r="J57" s="51">
        <f t="shared" si="2"/>
        <v>0</v>
      </c>
      <c r="K57" s="152"/>
      <c r="L57" s="152"/>
      <c r="M57" s="152"/>
      <c r="N57" s="152"/>
      <c r="O57" s="163"/>
      <c r="P57" s="153">
        <f t="shared" si="3"/>
        <v>0</v>
      </c>
      <c r="Q57" s="167" t="b">
        <f t="shared" si="4"/>
        <v>1</v>
      </c>
      <c r="R57" s="167"/>
      <c r="S57" s="136"/>
      <c r="T57" s="55"/>
      <c r="U57" s="51"/>
      <c r="V57" s="51"/>
      <c r="W57" s="56"/>
      <c r="X57" s="51"/>
      <c r="Y57" s="51"/>
      <c r="Z57" s="55"/>
      <c r="AA57" s="51"/>
      <c r="AB57" s="56"/>
      <c r="AC57" s="51" t="s">
        <v>215</v>
      </c>
      <c r="AD57" s="51" t="s">
        <v>216</v>
      </c>
      <c r="AE57" s="51" t="s">
        <v>217</v>
      </c>
      <c r="AF57" s="51" t="s">
        <v>218</v>
      </c>
      <c r="AG57" s="51" t="s">
        <v>219</v>
      </c>
      <c r="AH57" s="51" t="s">
        <v>220</v>
      </c>
      <c r="AI57" s="51"/>
      <c r="AJ57" s="51" t="s">
        <v>221</v>
      </c>
      <c r="AK57" s="56" t="s">
        <v>222</v>
      </c>
      <c r="AL57" s="56" t="s">
        <v>223</v>
      </c>
      <c r="AM57" s="51" t="e">
        <f t="shared" si="7"/>
        <v>#VALUE!</v>
      </c>
    </row>
    <row r="58" spans="1:39" ht="24.75" customHeight="1" x14ac:dyDescent="0.25">
      <c r="A58" s="84" t="s">
        <v>284</v>
      </c>
      <c r="B58" s="81" t="s">
        <v>347</v>
      </c>
      <c r="C58" s="80"/>
      <c r="D58" s="104"/>
      <c r="E58" s="96"/>
      <c r="F58" s="80">
        <f t="shared" si="0"/>
        <v>0</v>
      </c>
      <c r="G58" s="51"/>
      <c r="H58" s="51"/>
      <c r="I58" s="51">
        <f t="shared" si="1"/>
        <v>0</v>
      </c>
      <c r="J58" s="51">
        <f t="shared" si="2"/>
        <v>0</v>
      </c>
      <c r="K58" s="152"/>
      <c r="L58" s="152"/>
      <c r="M58" s="152"/>
      <c r="N58" s="152"/>
      <c r="O58" s="163"/>
      <c r="P58" s="153">
        <f t="shared" si="3"/>
        <v>0</v>
      </c>
      <c r="Q58" s="167" t="b">
        <f t="shared" si="4"/>
        <v>1</v>
      </c>
      <c r="R58" s="167"/>
      <c r="S58" s="136"/>
      <c r="T58" s="55"/>
      <c r="U58" s="51"/>
      <c r="V58" s="51"/>
      <c r="W58" s="56"/>
      <c r="X58" s="51"/>
      <c r="Y58" s="51"/>
      <c r="Z58" s="55"/>
      <c r="AA58" s="51"/>
      <c r="AB58" s="56"/>
      <c r="AC58" s="51" t="s">
        <v>224</v>
      </c>
      <c r="AD58" s="57">
        <v>0.4</v>
      </c>
      <c r="AE58" s="57">
        <v>0.3</v>
      </c>
      <c r="AF58" s="57"/>
      <c r="AG58" s="57">
        <v>0.05</v>
      </c>
      <c r="AH58" s="57">
        <v>0.1</v>
      </c>
      <c r="AI58" s="57"/>
      <c r="AJ58" s="51" t="s">
        <v>225</v>
      </c>
      <c r="AK58" s="56"/>
      <c r="AL58" s="56"/>
      <c r="AM58" s="51">
        <f t="shared" si="7"/>
        <v>0</v>
      </c>
    </row>
    <row r="59" spans="1:39" ht="41.45" customHeight="1" x14ac:dyDescent="0.25">
      <c r="A59" s="84" t="s">
        <v>286</v>
      </c>
      <c r="B59" s="133" t="s">
        <v>389</v>
      </c>
      <c r="C59" s="80" t="s">
        <v>17</v>
      </c>
      <c r="D59" s="103">
        <f>8000</f>
        <v>8000</v>
      </c>
      <c r="E59" s="96">
        <v>537.46</v>
      </c>
      <c r="F59" s="80">
        <f t="shared" si="0"/>
        <v>4299680</v>
      </c>
      <c r="G59" s="263">
        <v>15000</v>
      </c>
      <c r="H59" s="51"/>
      <c r="I59" s="51">
        <f t="shared" si="1"/>
        <v>591.20600000000013</v>
      </c>
      <c r="J59" s="51">
        <f t="shared" si="2"/>
        <v>4729648.0000000009</v>
      </c>
      <c r="K59" s="152"/>
      <c r="L59" s="152"/>
      <c r="M59" s="152"/>
      <c r="N59" s="152"/>
      <c r="O59" s="129">
        <v>537.46</v>
      </c>
      <c r="P59" s="153">
        <f t="shared" si="3"/>
        <v>4299680</v>
      </c>
      <c r="Q59" s="167" t="b">
        <f t="shared" si="4"/>
        <v>1</v>
      </c>
      <c r="R59" s="167"/>
      <c r="S59" s="136"/>
      <c r="T59" s="55"/>
      <c r="U59" s="51"/>
      <c r="V59" s="51"/>
      <c r="W59" s="56"/>
      <c r="X59" s="51"/>
      <c r="Y59" s="51"/>
      <c r="Z59" s="55"/>
      <c r="AA59" s="51"/>
      <c r="AB59" s="56"/>
      <c r="AC59" s="51">
        <v>264</v>
      </c>
      <c r="AD59" s="51">
        <f>AC59/(1+$AD$58)</f>
        <v>188.57142857142858</v>
      </c>
      <c r="AE59" s="51"/>
      <c r="AF59" s="51">
        <f>SUM(AD59:AE59)</f>
        <v>188.57142857142858</v>
      </c>
      <c r="AG59" s="51">
        <f>AF59*$AG$58</f>
        <v>9.4285714285714288</v>
      </c>
      <c r="AH59" s="51">
        <f>AF59*$AH$58</f>
        <v>18.857142857142858</v>
      </c>
      <c r="AI59" s="51">
        <f>SUM(AF59:AH59)</f>
        <v>216.85714285714286</v>
      </c>
      <c r="AJ59" s="51">
        <v>1.5</v>
      </c>
      <c r="AK59" s="56">
        <f>AI59*AJ59+G59</f>
        <v>15325.285714285714</v>
      </c>
      <c r="AL59" s="56">
        <f>G59</f>
        <v>15000</v>
      </c>
      <c r="AM59" s="51">
        <f>ROUND(SUM(AK59:AL59),-1)</f>
        <v>30330</v>
      </c>
    </row>
    <row r="60" spans="1:39" ht="37.5" customHeight="1" x14ac:dyDescent="0.25">
      <c r="A60" s="84" t="s">
        <v>287</v>
      </c>
      <c r="B60" s="133" t="s">
        <v>390</v>
      </c>
      <c r="C60" s="80" t="s">
        <v>17</v>
      </c>
      <c r="D60" s="107">
        <v>7000</v>
      </c>
      <c r="E60" s="96">
        <v>698</v>
      </c>
      <c r="F60" s="80">
        <f t="shared" si="0"/>
        <v>4886000</v>
      </c>
      <c r="G60" s="263"/>
      <c r="H60" s="51"/>
      <c r="I60" s="51">
        <f t="shared" si="1"/>
        <v>767.80000000000007</v>
      </c>
      <c r="J60" s="51">
        <f t="shared" si="2"/>
        <v>5374600.0000000009</v>
      </c>
      <c r="K60" s="152"/>
      <c r="L60" s="152"/>
      <c r="M60" s="152"/>
      <c r="N60" s="152"/>
      <c r="O60" s="129">
        <v>698</v>
      </c>
      <c r="P60" s="153">
        <f t="shared" si="3"/>
        <v>4886000</v>
      </c>
      <c r="Q60" s="167" t="b">
        <f t="shared" si="4"/>
        <v>1</v>
      </c>
      <c r="R60" s="167"/>
      <c r="S60" s="136"/>
      <c r="T60" s="55"/>
      <c r="U60" s="51"/>
      <c r="V60" s="51"/>
      <c r="W60" s="56"/>
      <c r="X60" s="51"/>
      <c r="Y60" s="51"/>
      <c r="Z60" s="55"/>
      <c r="AA60" s="51"/>
      <c r="AB60" s="56"/>
      <c r="AC60" s="51">
        <v>332</v>
      </c>
      <c r="AD60" s="51">
        <f>AC60/(1+$AD$58)</f>
        <v>237.14285714285717</v>
      </c>
      <c r="AE60" s="51"/>
      <c r="AF60" s="51">
        <f>SUM(AD60:AE60)</f>
        <v>237.14285714285717</v>
      </c>
      <c r="AG60" s="51">
        <f>AF60*$AG$58</f>
        <v>11.857142857142859</v>
      </c>
      <c r="AH60" s="51">
        <f>AF60*$AH$58</f>
        <v>23.714285714285719</v>
      </c>
      <c r="AI60" s="51">
        <f>SUM(AF60:AH60)</f>
        <v>272.71428571428572</v>
      </c>
      <c r="AJ60" s="51">
        <v>1.5</v>
      </c>
      <c r="AK60" s="56">
        <f>AI60*AJ60+G60</f>
        <v>409.07142857142856</v>
      </c>
      <c r="AL60" s="56">
        <f>G60</f>
        <v>0</v>
      </c>
      <c r="AM60" s="51">
        <f>ROUND(SUM(AK60:AL60),-1)</f>
        <v>410</v>
      </c>
    </row>
    <row r="61" spans="1:39" ht="30" customHeight="1" x14ac:dyDescent="0.25">
      <c r="A61" s="84" t="s">
        <v>288</v>
      </c>
      <c r="B61" s="133" t="s">
        <v>391</v>
      </c>
      <c r="C61" s="80" t="s">
        <v>17</v>
      </c>
      <c r="D61" s="103">
        <f>2000+500</f>
        <v>2500</v>
      </c>
      <c r="E61" s="96">
        <v>837.6</v>
      </c>
      <c r="F61" s="80">
        <f t="shared" si="0"/>
        <v>2094000</v>
      </c>
      <c r="G61" s="263"/>
      <c r="H61" s="51"/>
      <c r="I61" s="51">
        <f t="shared" si="1"/>
        <v>921.36000000000013</v>
      </c>
      <c r="J61" s="51">
        <f t="shared" si="2"/>
        <v>2303400.0000000005</v>
      </c>
      <c r="K61" s="152"/>
      <c r="L61" s="152"/>
      <c r="M61" s="152"/>
      <c r="N61" s="152"/>
      <c r="O61" s="129">
        <v>837.6</v>
      </c>
      <c r="P61" s="153">
        <f t="shared" si="3"/>
        <v>2094000</v>
      </c>
      <c r="Q61" s="167" t="b">
        <f t="shared" si="4"/>
        <v>1</v>
      </c>
      <c r="R61" s="167"/>
      <c r="S61" s="136"/>
      <c r="T61" s="55"/>
      <c r="U61" s="51"/>
      <c r="V61" s="51"/>
      <c r="W61" s="56"/>
      <c r="X61" s="51"/>
      <c r="Y61" s="51"/>
      <c r="Z61" s="55"/>
      <c r="AA61" s="51"/>
      <c r="AB61" s="56"/>
      <c r="AC61" s="51">
        <v>499</v>
      </c>
      <c r="AD61" s="51">
        <f>AC61/(1+$AD$58)</f>
        <v>356.42857142857144</v>
      </c>
      <c r="AE61" s="51"/>
      <c r="AF61" s="51">
        <f>SUM(AD61:AE61)</f>
        <v>356.42857142857144</v>
      </c>
      <c r="AG61" s="51">
        <f>AF61*$AG$58</f>
        <v>17.821428571428573</v>
      </c>
      <c r="AH61" s="51">
        <f>AF61*$AH$58</f>
        <v>35.642857142857146</v>
      </c>
      <c r="AI61" s="51">
        <f>SUM(AF61:AH61)</f>
        <v>409.89285714285717</v>
      </c>
      <c r="AJ61" s="51">
        <v>1.5</v>
      </c>
      <c r="AK61" s="56">
        <f>AI61*AJ61+G61</f>
        <v>614.83928571428578</v>
      </c>
      <c r="AL61" s="56">
        <f>G61</f>
        <v>0</v>
      </c>
      <c r="AM61" s="51">
        <f>ROUND(SUM(AK61:AL61),-1)</f>
        <v>610</v>
      </c>
    </row>
    <row r="62" spans="1:39" s="52" customFormat="1" ht="34.5" customHeight="1" x14ac:dyDescent="0.25">
      <c r="A62" s="84" t="s">
        <v>307</v>
      </c>
      <c r="B62" s="81" t="s">
        <v>348</v>
      </c>
      <c r="C62" s="78"/>
      <c r="D62" s="104"/>
      <c r="E62" s="125"/>
      <c r="F62" s="80">
        <f t="shared" si="0"/>
        <v>0</v>
      </c>
      <c r="G62" s="51"/>
      <c r="H62" s="51"/>
      <c r="I62" s="51">
        <f t="shared" si="1"/>
        <v>0</v>
      </c>
      <c r="J62" s="51">
        <f t="shared" si="2"/>
        <v>0</v>
      </c>
      <c r="K62" s="152"/>
      <c r="L62" s="152"/>
      <c r="M62" s="152"/>
      <c r="N62" s="152"/>
      <c r="O62" s="163"/>
      <c r="P62" s="153">
        <f t="shared" si="3"/>
        <v>0</v>
      </c>
      <c r="Q62" s="167" t="b">
        <f t="shared" si="4"/>
        <v>1</v>
      </c>
      <c r="R62" s="167"/>
      <c r="S62" s="136"/>
      <c r="T62" s="55"/>
      <c r="U62" s="51"/>
      <c r="V62" s="51"/>
      <c r="W62" s="56"/>
      <c r="X62" s="56"/>
      <c r="Y62" s="51"/>
      <c r="Z62" s="55"/>
      <c r="AA62" s="51"/>
      <c r="AB62" s="56"/>
      <c r="AC62" s="56"/>
      <c r="AD62" s="56"/>
      <c r="AE62" s="56"/>
      <c r="AF62" s="56"/>
      <c r="AG62" s="56"/>
      <c r="AH62" s="56"/>
      <c r="AI62" s="56"/>
      <c r="AJ62" s="56"/>
      <c r="AK62" s="56"/>
      <c r="AL62" s="56"/>
      <c r="AM62" s="51">
        <f t="shared" ref="AM62:AM89" si="8">ROUND(AK62,-1)</f>
        <v>0</v>
      </c>
    </row>
    <row r="63" spans="1:39" ht="37.5" customHeight="1" x14ac:dyDescent="0.25">
      <c r="A63" s="264" t="s">
        <v>308</v>
      </c>
      <c r="B63" s="85" t="s">
        <v>226</v>
      </c>
      <c r="C63" s="80"/>
      <c r="D63" s="108"/>
      <c r="E63" s="96"/>
      <c r="F63" s="80">
        <f t="shared" si="0"/>
        <v>0</v>
      </c>
      <c r="G63" s="51"/>
      <c r="H63" s="51"/>
      <c r="I63" s="51">
        <f t="shared" si="1"/>
        <v>0</v>
      </c>
      <c r="J63" s="51">
        <f t="shared" si="2"/>
        <v>0</v>
      </c>
      <c r="K63" s="152"/>
      <c r="L63" s="152"/>
      <c r="M63" s="152"/>
      <c r="N63" s="152"/>
      <c r="O63" s="163"/>
      <c r="P63" s="153">
        <f t="shared" si="3"/>
        <v>0</v>
      </c>
      <c r="Q63" s="167" t="b">
        <f t="shared" si="4"/>
        <v>1</v>
      </c>
      <c r="R63" s="167"/>
      <c r="S63" s="136"/>
      <c r="T63" s="55"/>
      <c r="U63" s="51"/>
      <c r="V63" s="51"/>
      <c r="W63" s="56"/>
      <c r="X63" s="56"/>
      <c r="Y63" s="51"/>
      <c r="Z63" s="55"/>
      <c r="AA63" s="51"/>
      <c r="AB63" s="56"/>
      <c r="AC63" s="56"/>
      <c r="AD63" s="56"/>
      <c r="AE63" s="56"/>
      <c r="AF63" s="56"/>
      <c r="AG63" s="56"/>
      <c r="AH63" s="56"/>
      <c r="AI63" s="56"/>
      <c r="AJ63" s="56"/>
      <c r="AK63" s="56"/>
      <c r="AL63" s="56"/>
      <c r="AM63" s="51">
        <f t="shared" si="8"/>
        <v>0</v>
      </c>
    </row>
    <row r="64" spans="1:39" ht="81" x14ac:dyDescent="0.25">
      <c r="A64" s="265"/>
      <c r="B64" s="79" t="s">
        <v>426</v>
      </c>
      <c r="C64" s="80" t="s">
        <v>47</v>
      </c>
      <c r="D64" s="103">
        <v>4000</v>
      </c>
      <c r="E64" s="129">
        <v>1158.68</v>
      </c>
      <c r="F64" s="80">
        <f t="shared" si="0"/>
        <v>4634720</v>
      </c>
      <c r="G64" s="51">
        <f>D64*0.5</f>
        <v>2000</v>
      </c>
      <c r="H64" s="51"/>
      <c r="I64" s="51">
        <f t="shared" si="1"/>
        <v>1274.5480000000002</v>
      </c>
      <c r="J64" s="51">
        <f t="shared" si="2"/>
        <v>5098192.0000000009</v>
      </c>
      <c r="K64" s="152">
        <v>2938.87</v>
      </c>
      <c r="L64" s="152"/>
      <c r="M64" s="152"/>
      <c r="N64" s="152"/>
      <c r="O64" s="163">
        <v>2938.87</v>
      </c>
      <c r="P64" s="153">
        <f t="shared" si="3"/>
        <v>11755480</v>
      </c>
      <c r="Q64" s="167" t="b">
        <f t="shared" si="4"/>
        <v>0</v>
      </c>
      <c r="R64" s="169"/>
      <c r="S64" s="150">
        <v>2938.87</v>
      </c>
      <c r="T64" s="266" t="s">
        <v>367</v>
      </c>
      <c r="U64" s="51"/>
      <c r="V64" s="51"/>
      <c r="W64" s="56"/>
      <c r="X64" s="56"/>
      <c r="Y64" s="51"/>
      <c r="Z64" s="55"/>
      <c r="AA64" s="51"/>
      <c r="AB64" s="56"/>
      <c r="AC64" s="56"/>
      <c r="AD64" s="56"/>
      <c r="AE64" s="56"/>
      <c r="AF64" s="56"/>
      <c r="AG64" s="56"/>
      <c r="AH64" s="56"/>
      <c r="AI64" s="56"/>
      <c r="AJ64" s="56"/>
      <c r="AK64" s="56">
        <f>G64</f>
        <v>2000</v>
      </c>
      <c r="AL64" s="56"/>
      <c r="AM64" s="51">
        <f t="shared" si="8"/>
        <v>2000</v>
      </c>
    </row>
    <row r="65" spans="1:39" ht="38.25" customHeight="1" x14ac:dyDescent="0.25">
      <c r="A65" s="264" t="s">
        <v>309</v>
      </c>
      <c r="B65" s="85" t="s">
        <v>349</v>
      </c>
      <c r="C65" s="80"/>
      <c r="D65" s="108"/>
      <c r="E65" s="96"/>
      <c r="F65" s="80">
        <f t="shared" si="0"/>
        <v>0</v>
      </c>
      <c r="G65" s="51"/>
      <c r="H65" s="51"/>
      <c r="I65" s="51">
        <f t="shared" si="1"/>
        <v>0</v>
      </c>
      <c r="J65" s="51">
        <f t="shared" si="2"/>
        <v>0</v>
      </c>
      <c r="K65" s="152"/>
      <c r="L65" s="152"/>
      <c r="M65" s="152"/>
      <c r="N65" s="152"/>
      <c r="O65" s="163"/>
      <c r="P65" s="153">
        <f t="shared" si="3"/>
        <v>0</v>
      </c>
      <c r="Q65" s="167" t="b">
        <f t="shared" si="4"/>
        <v>1</v>
      </c>
      <c r="R65" s="169"/>
      <c r="S65" s="136"/>
      <c r="T65" s="266"/>
      <c r="U65" s="51"/>
      <c r="V65" s="51"/>
      <c r="W65" s="56"/>
      <c r="X65" s="56"/>
      <c r="Y65" s="51"/>
      <c r="Z65" s="55"/>
      <c r="AA65" s="51"/>
      <c r="AB65" s="56"/>
      <c r="AC65" s="56"/>
      <c r="AD65" s="56"/>
      <c r="AE65" s="56"/>
      <c r="AF65" s="56"/>
      <c r="AG65" s="56"/>
      <c r="AH65" s="56"/>
      <c r="AI65" s="56"/>
      <c r="AJ65" s="56"/>
      <c r="AK65" s="56"/>
      <c r="AL65" s="56"/>
      <c r="AM65" s="51">
        <f t="shared" si="8"/>
        <v>0</v>
      </c>
    </row>
    <row r="66" spans="1:39" ht="101.25" x14ac:dyDescent="0.25">
      <c r="A66" s="265"/>
      <c r="B66" s="79" t="s">
        <v>427</v>
      </c>
      <c r="C66" s="80" t="s">
        <v>47</v>
      </c>
      <c r="D66" s="103">
        <v>3000</v>
      </c>
      <c r="E66" s="129">
        <f>1263.38+1510.57</f>
        <v>2773.95</v>
      </c>
      <c r="F66" s="80">
        <f t="shared" si="0"/>
        <v>8321849.9999999991</v>
      </c>
      <c r="G66" s="51">
        <f>D66*0.5</f>
        <v>1500</v>
      </c>
      <c r="H66" s="51"/>
      <c r="I66" s="51">
        <f t="shared" si="1"/>
        <v>3051.3450000000003</v>
      </c>
      <c r="J66" s="51">
        <f t="shared" si="2"/>
        <v>9154035</v>
      </c>
      <c r="K66" s="152">
        <v>3498.48</v>
      </c>
      <c r="L66" s="152"/>
      <c r="M66" s="152"/>
      <c r="N66" s="152"/>
      <c r="O66" s="163">
        <v>3498.48</v>
      </c>
      <c r="P66" s="153">
        <f t="shared" si="3"/>
        <v>10495440</v>
      </c>
      <c r="Q66" s="167" t="b">
        <f t="shared" si="4"/>
        <v>0</v>
      </c>
      <c r="R66" s="169"/>
      <c r="S66" s="150">
        <v>3498.48</v>
      </c>
      <c r="T66" s="266"/>
      <c r="U66" s="51"/>
      <c r="V66" s="51"/>
      <c r="W66" s="56"/>
      <c r="X66" s="56"/>
      <c r="Y66" s="51"/>
      <c r="Z66" s="55"/>
      <c r="AA66" s="51"/>
      <c r="AB66" s="56"/>
      <c r="AC66" s="56"/>
      <c r="AD66" s="56"/>
      <c r="AE66" s="56"/>
      <c r="AF66" s="56"/>
      <c r="AG66" s="56"/>
      <c r="AH66" s="56"/>
      <c r="AI66" s="56"/>
      <c r="AJ66" s="56"/>
      <c r="AK66" s="56">
        <f>G66</f>
        <v>1500</v>
      </c>
      <c r="AL66" s="56"/>
      <c r="AM66" s="51">
        <f t="shared" si="8"/>
        <v>1500</v>
      </c>
    </row>
    <row r="67" spans="1:39" ht="31.5" customHeight="1" x14ac:dyDescent="0.25">
      <c r="A67" s="84" t="s">
        <v>310</v>
      </c>
      <c r="B67" s="81" t="s">
        <v>277</v>
      </c>
      <c r="C67" s="80"/>
      <c r="D67" s="104"/>
      <c r="E67" s="96"/>
      <c r="F67" s="80">
        <f t="shared" si="0"/>
        <v>0</v>
      </c>
      <c r="G67" s="51"/>
      <c r="H67" s="51"/>
      <c r="I67" s="51">
        <f t="shared" si="1"/>
        <v>0</v>
      </c>
      <c r="J67" s="51">
        <f t="shared" si="2"/>
        <v>0</v>
      </c>
      <c r="K67" s="152"/>
      <c r="L67" s="152"/>
      <c r="M67" s="152"/>
      <c r="N67" s="152"/>
      <c r="O67" s="163"/>
      <c r="P67" s="153">
        <f t="shared" si="3"/>
        <v>0</v>
      </c>
      <c r="Q67" s="167" t="b">
        <f t="shared" si="4"/>
        <v>1</v>
      </c>
      <c r="R67" s="167"/>
      <c r="S67" s="136"/>
      <c r="T67" s="55"/>
      <c r="U67" s="51"/>
      <c r="V67" s="51"/>
      <c r="W67" s="56"/>
      <c r="X67" s="56"/>
      <c r="Y67" s="51"/>
      <c r="Z67" s="55"/>
      <c r="AA67" s="51"/>
      <c r="AB67" s="56"/>
      <c r="AC67" s="56"/>
      <c r="AD67" s="56"/>
      <c r="AE67" s="56"/>
      <c r="AF67" s="56"/>
      <c r="AG67" s="56"/>
      <c r="AH67" s="56"/>
      <c r="AI67" s="56"/>
      <c r="AJ67" s="56"/>
      <c r="AK67" s="56"/>
      <c r="AL67" s="56"/>
      <c r="AM67" s="51">
        <f t="shared" si="8"/>
        <v>0</v>
      </c>
    </row>
    <row r="68" spans="1:39" ht="38.1" customHeight="1" x14ac:dyDescent="0.25">
      <c r="A68" s="71" t="s">
        <v>311</v>
      </c>
      <c r="B68" s="79" t="s">
        <v>227</v>
      </c>
      <c r="C68" s="80" t="s">
        <v>17</v>
      </c>
      <c r="D68" s="103">
        <v>3000</v>
      </c>
      <c r="E68" s="96">
        <v>279.2</v>
      </c>
      <c r="F68" s="80">
        <f t="shared" si="0"/>
        <v>837600</v>
      </c>
      <c r="G68" s="51"/>
      <c r="H68" s="51"/>
      <c r="I68" s="51">
        <f t="shared" si="1"/>
        <v>307.12</v>
      </c>
      <c r="J68" s="51">
        <f t="shared" si="2"/>
        <v>921360</v>
      </c>
      <c r="K68" s="152"/>
      <c r="L68" s="152"/>
      <c r="M68" s="152"/>
      <c r="N68" s="152"/>
      <c r="O68" s="163">
        <v>279.2</v>
      </c>
      <c r="P68" s="153">
        <f t="shared" si="3"/>
        <v>837600</v>
      </c>
      <c r="Q68" s="167" t="b">
        <f t="shared" si="4"/>
        <v>1</v>
      </c>
      <c r="R68" s="167"/>
      <c r="S68" s="136"/>
      <c r="T68" s="55"/>
      <c r="U68" s="51"/>
      <c r="V68" s="51"/>
      <c r="W68" s="56"/>
      <c r="X68" s="59"/>
      <c r="Y68" s="51"/>
      <c r="Z68" s="55"/>
      <c r="AA68" s="51"/>
      <c r="AB68" s="56"/>
      <c r="AC68" s="56"/>
      <c r="AD68" s="56"/>
      <c r="AE68" s="56"/>
      <c r="AF68" s="56"/>
      <c r="AG68" s="56"/>
      <c r="AH68" s="56"/>
      <c r="AI68" s="56"/>
      <c r="AJ68" s="56"/>
      <c r="AK68" s="56">
        <f>AA68-G68</f>
        <v>0</v>
      </c>
      <c r="AL68" s="56"/>
      <c r="AM68" s="51">
        <f t="shared" si="8"/>
        <v>0</v>
      </c>
    </row>
    <row r="69" spans="1:39" ht="88.5" customHeight="1" x14ac:dyDescent="0.25">
      <c r="A69" s="71" t="s">
        <v>228</v>
      </c>
      <c r="B69" s="79" t="s">
        <v>392</v>
      </c>
      <c r="C69" s="80"/>
      <c r="D69" s="103"/>
      <c r="E69" s="96"/>
      <c r="F69" s="80">
        <f t="shared" si="0"/>
        <v>0</v>
      </c>
      <c r="G69" s="51"/>
      <c r="H69" s="51"/>
      <c r="I69" s="51">
        <f t="shared" si="1"/>
        <v>0</v>
      </c>
      <c r="J69" s="51">
        <f t="shared" si="2"/>
        <v>0</v>
      </c>
      <c r="K69" s="152"/>
      <c r="L69" s="152"/>
      <c r="M69" s="152"/>
      <c r="N69" s="152"/>
      <c r="O69" s="163"/>
      <c r="P69" s="153">
        <f t="shared" si="3"/>
        <v>0</v>
      </c>
      <c r="Q69" s="167" t="b">
        <f t="shared" si="4"/>
        <v>1</v>
      </c>
      <c r="R69" s="167"/>
      <c r="S69" s="136"/>
      <c r="T69" s="55"/>
      <c r="U69" s="51"/>
      <c r="V69" s="51"/>
      <c r="W69" s="56"/>
      <c r="X69" s="56"/>
      <c r="Y69" s="51"/>
      <c r="Z69" s="55"/>
      <c r="AA69" s="51"/>
      <c r="AB69" s="56"/>
      <c r="AC69" s="56"/>
      <c r="AD69" s="56"/>
      <c r="AE69" s="56"/>
      <c r="AF69" s="56"/>
      <c r="AG69" s="56"/>
      <c r="AH69" s="56"/>
      <c r="AI69" s="56"/>
      <c r="AJ69" s="56"/>
      <c r="AK69" s="56"/>
      <c r="AL69" s="56"/>
      <c r="AM69" s="51">
        <f t="shared" si="8"/>
        <v>0</v>
      </c>
    </row>
    <row r="70" spans="1:39" ht="27.2" customHeight="1" x14ac:dyDescent="0.25">
      <c r="A70" s="264" t="s">
        <v>312</v>
      </c>
      <c r="B70" s="81" t="s">
        <v>428</v>
      </c>
      <c r="C70" s="80"/>
      <c r="D70" s="104"/>
      <c r="E70" s="96"/>
      <c r="F70" s="80">
        <f t="shared" si="0"/>
        <v>0</v>
      </c>
      <c r="G70" s="51"/>
      <c r="H70" s="51"/>
      <c r="I70" s="51">
        <f t="shared" si="1"/>
        <v>0</v>
      </c>
      <c r="J70" s="51">
        <f t="shared" si="2"/>
        <v>0</v>
      </c>
      <c r="K70" s="152"/>
      <c r="L70" s="152"/>
      <c r="M70" s="152"/>
      <c r="N70" s="152"/>
      <c r="O70" s="163"/>
      <c r="P70" s="153">
        <f t="shared" si="3"/>
        <v>0</v>
      </c>
      <c r="Q70" s="167" t="b">
        <f t="shared" si="4"/>
        <v>1</v>
      </c>
      <c r="R70" s="167"/>
      <c r="S70" s="136"/>
      <c r="T70" s="55"/>
      <c r="U70" s="51"/>
      <c r="V70" s="51"/>
      <c r="W70" s="56"/>
      <c r="X70" s="56"/>
      <c r="Y70" s="51"/>
      <c r="Z70" s="55"/>
      <c r="AA70" s="51"/>
      <c r="AB70" s="56"/>
      <c r="AC70" s="56"/>
      <c r="AD70" s="56"/>
      <c r="AE70" s="56"/>
      <c r="AF70" s="56"/>
      <c r="AG70" s="56"/>
      <c r="AH70" s="56"/>
      <c r="AI70" s="56"/>
      <c r="AJ70" s="56"/>
      <c r="AK70" s="56"/>
      <c r="AL70" s="56"/>
      <c r="AM70" s="51">
        <f t="shared" si="8"/>
        <v>0</v>
      </c>
    </row>
    <row r="71" spans="1:39" ht="145.9" customHeight="1" x14ac:dyDescent="0.25">
      <c r="A71" s="265"/>
      <c r="B71" s="79" t="s">
        <v>418</v>
      </c>
      <c r="C71" s="80"/>
      <c r="D71" s="103"/>
      <c r="E71" s="96"/>
      <c r="F71" s="80">
        <f t="shared" si="0"/>
        <v>0</v>
      </c>
      <c r="G71" s="51"/>
      <c r="H71" s="51"/>
      <c r="I71" s="51">
        <f t="shared" si="1"/>
        <v>0</v>
      </c>
      <c r="J71" s="51">
        <f t="shared" si="2"/>
        <v>0</v>
      </c>
      <c r="K71" s="152"/>
      <c r="L71" s="152"/>
      <c r="M71" s="152"/>
      <c r="N71" s="152"/>
      <c r="O71" s="163"/>
      <c r="P71" s="153">
        <f t="shared" si="3"/>
        <v>0</v>
      </c>
      <c r="Q71" s="167" t="b">
        <f t="shared" si="4"/>
        <v>1</v>
      </c>
      <c r="R71" s="167"/>
      <c r="S71" s="136"/>
      <c r="T71" s="55"/>
      <c r="U71" s="51"/>
      <c r="V71" s="51"/>
      <c r="W71" s="56"/>
      <c r="X71" s="56"/>
      <c r="Y71" s="51"/>
      <c r="Z71" s="55"/>
      <c r="AA71" s="51"/>
      <c r="AB71" s="56"/>
      <c r="AC71" s="56"/>
      <c r="AD71" s="56"/>
      <c r="AE71" s="56"/>
      <c r="AF71" s="56"/>
      <c r="AG71" s="56"/>
      <c r="AH71" s="56"/>
      <c r="AI71" s="56"/>
      <c r="AJ71" s="56"/>
      <c r="AK71" s="56"/>
      <c r="AL71" s="56"/>
      <c r="AM71" s="51">
        <f t="shared" si="8"/>
        <v>0</v>
      </c>
    </row>
    <row r="72" spans="1:39" ht="30" customHeight="1" x14ac:dyDescent="0.25">
      <c r="A72" s="71" t="s">
        <v>313</v>
      </c>
      <c r="B72" s="79" t="s">
        <v>352</v>
      </c>
      <c r="C72" s="80" t="s">
        <v>47</v>
      </c>
      <c r="D72" s="103">
        <v>8000</v>
      </c>
      <c r="E72" s="129">
        <v>153.56</v>
      </c>
      <c r="F72" s="80">
        <f t="shared" si="0"/>
        <v>1228480</v>
      </c>
      <c r="G72" s="51"/>
      <c r="H72" s="51"/>
      <c r="I72" s="51">
        <f t="shared" si="1"/>
        <v>168.91600000000003</v>
      </c>
      <c r="J72" s="51">
        <f t="shared" si="2"/>
        <v>1351328.0000000002</v>
      </c>
      <c r="K72" s="152">
        <v>293</v>
      </c>
      <c r="L72" s="152"/>
      <c r="M72" s="152"/>
      <c r="N72" s="152"/>
      <c r="O72" s="163">
        <v>293</v>
      </c>
      <c r="P72" s="153">
        <f t="shared" si="3"/>
        <v>2344000</v>
      </c>
      <c r="Q72" s="167" t="b">
        <f t="shared" si="4"/>
        <v>0</v>
      </c>
      <c r="R72" s="167"/>
      <c r="S72" s="136">
        <v>293</v>
      </c>
      <c r="T72" s="55" t="s">
        <v>367</v>
      </c>
      <c r="U72" s="51"/>
      <c r="V72" s="51"/>
      <c r="W72" s="56"/>
      <c r="X72" s="56"/>
      <c r="Y72" s="51"/>
      <c r="Z72" s="55"/>
      <c r="AA72" s="51"/>
      <c r="AB72" s="56"/>
      <c r="AC72" s="56"/>
      <c r="AD72" s="56"/>
      <c r="AE72" s="56"/>
      <c r="AF72" s="56"/>
      <c r="AG72" s="56"/>
      <c r="AH72" s="56"/>
      <c r="AI72" s="56"/>
      <c r="AJ72" s="56"/>
      <c r="AK72" s="56">
        <f>G72</f>
        <v>0</v>
      </c>
      <c r="AL72" s="56"/>
      <c r="AM72" s="51">
        <f t="shared" si="8"/>
        <v>0</v>
      </c>
    </row>
    <row r="73" spans="1:39" ht="30" customHeight="1" x14ac:dyDescent="0.25">
      <c r="A73" s="71" t="s">
        <v>314</v>
      </c>
      <c r="B73" s="81" t="s">
        <v>255</v>
      </c>
      <c r="C73" s="80"/>
      <c r="D73" s="104"/>
      <c r="E73" s="96"/>
      <c r="F73" s="80">
        <f t="shared" si="0"/>
        <v>0</v>
      </c>
      <c r="G73" s="51"/>
      <c r="H73" s="51"/>
      <c r="I73" s="51">
        <f t="shared" si="1"/>
        <v>0</v>
      </c>
      <c r="J73" s="51">
        <f t="shared" si="2"/>
        <v>0</v>
      </c>
      <c r="K73" s="152"/>
      <c r="L73" s="152"/>
      <c r="M73" s="152"/>
      <c r="N73" s="152"/>
      <c r="O73" s="163"/>
      <c r="P73" s="153">
        <f t="shared" si="3"/>
        <v>0</v>
      </c>
      <c r="Q73" s="167" t="b">
        <f t="shared" si="4"/>
        <v>1</v>
      </c>
      <c r="R73" s="167"/>
      <c r="S73" s="136"/>
      <c r="T73" s="55"/>
      <c r="U73" s="51"/>
      <c r="V73" s="51"/>
      <c r="W73" s="56"/>
      <c r="X73" s="56"/>
      <c r="Y73" s="51"/>
      <c r="Z73" s="55"/>
      <c r="AA73" s="51"/>
      <c r="AB73" s="56"/>
      <c r="AC73" s="56"/>
      <c r="AD73" s="56"/>
      <c r="AE73" s="56"/>
      <c r="AF73" s="56"/>
      <c r="AG73" s="56"/>
      <c r="AH73" s="56"/>
      <c r="AI73" s="56"/>
      <c r="AJ73" s="56"/>
      <c r="AK73" s="56"/>
      <c r="AL73" s="56"/>
      <c r="AM73" s="51"/>
    </row>
    <row r="74" spans="1:39" ht="81" x14ac:dyDescent="0.25">
      <c r="A74" s="71" t="s">
        <v>315</v>
      </c>
      <c r="B74" s="79" t="s">
        <v>354</v>
      </c>
      <c r="C74" s="80" t="s">
        <v>47</v>
      </c>
      <c r="D74" s="103">
        <v>50</v>
      </c>
      <c r="E74" s="96">
        <v>6980</v>
      </c>
      <c r="F74" s="80">
        <f t="shared" si="0"/>
        <v>349000</v>
      </c>
      <c r="G74" s="51"/>
      <c r="H74" s="51"/>
      <c r="I74" s="51">
        <f t="shared" si="1"/>
        <v>7678.0000000000009</v>
      </c>
      <c r="J74" s="51">
        <f t="shared" si="2"/>
        <v>383900.00000000006</v>
      </c>
      <c r="K74" s="152"/>
      <c r="L74" s="152"/>
      <c r="M74" s="152"/>
      <c r="N74" s="152"/>
      <c r="O74" s="163">
        <v>6980</v>
      </c>
      <c r="P74" s="153">
        <f t="shared" si="3"/>
        <v>349000</v>
      </c>
      <c r="Q74" s="167" t="b">
        <f t="shared" si="4"/>
        <v>1</v>
      </c>
      <c r="R74" s="167"/>
      <c r="S74" s="136"/>
      <c r="T74" s="55"/>
      <c r="U74" s="51"/>
      <c r="V74" s="51"/>
      <c r="W74" s="56"/>
      <c r="X74" s="56"/>
      <c r="Y74" s="51"/>
      <c r="Z74" s="55"/>
      <c r="AA74" s="51"/>
      <c r="AB74" s="56"/>
      <c r="AC74" s="56"/>
      <c r="AD74" s="56"/>
      <c r="AE74" s="56"/>
      <c r="AF74" s="56"/>
      <c r="AG74" s="56"/>
      <c r="AH74" s="56"/>
      <c r="AI74" s="56"/>
      <c r="AJ74" s="56"/>
      <c r="AK74" s="56"/>
      <c r="AL74" s="56"/>
      <c r="AM74" s="51"/>
    </row>
    <row r="75" spans="1:39" x14ac:dyDescent="0.25">
      <c r="A75" s="86"/>
      <c r="B75" s="81" t="s">
        <v>412</v>
      </c>
      <c r="C75" s="80"/>
      <c r="D75" s="103"/>
      <c r="E75" s="96"/>
      <c r="F75" s="80"/>
      <c r="G75" s="51"/>
      <c r="H75" s="51"/>
      <c r="I75" s="51"/>
      <c r="J75" s="51"/>
      <c r="K75" s="152"/>
      <c r="L75" s="152"/>
      <c r="M75" s="152"/>
      <c r="N75" s="152"/>
      <c r="O75" s="163"/>
      <c r="P75" s="153">
        <f t="shared" si="3"/>
        <v>0</v>
      </c>
      <c r="Q75" s="167" t="b">
        <f t="shared" si="4"/>
        <v>1</v>
      </c>
      <c r="R75" s="167"/>
      <c r="S75" s="136"/>
      <c r="T75" s="55"/>
      <c r="U75" s="51"/>
      <c r="V75" s="51"/>
      <c r="W75" s="56"/>
      <c r="X75" s="56"/>
      <c r="Y75" s="51"/>
      <c r="Z75" s="55"/>
      <c r="AA75" s="51"/>
      <c r="AB75" s="56"/>
      <c r="AC75" s="56"/>
      <c r="AD75" s="56"/>
      <c r="AE75" s="56"/>
      <c r="AF75" s="56"/>
      <c r="AG75" s="56"/>
      <c r="AH75" s="56"/>
      <c r="AI75" s="56"/>
      <c r="AJ75" s="56"/>
      <c r="AK75" s="56"/>
      <c r="AL75" s="56"/>
      <c r="AM75" s="51"/>
    </row>
    <row r="76" spans="1:39" ht="101.25" x14ac:dyDescent="0.25">
      <c r="A76" s="86"/>
      <c r="B76" s="98" t="s">
        <v>420</v>
      </c>
      <c r="C76" s="80"/>
      <c r="D76" s="103">
        <v>15</v>
      </c>
      <c r="E76" s="129">
        <v>90000</v>
      </c>
      <c r="F76" s="80">
        <f t="shared" si="0"/>
        <v>1350000</v>
      </c>
      <c r="G76" s="51"/>
      <c r="H76" s="51"/>
      <c r="I76" s="51"/>
      <c r="J76" s="51"/>
      <c r="K76" s="152"/>
      <c r="L76" s="152"/>
      <c r="M76" s="152"/>
      <c r="N76" s="152">
        <v>90000</v>
      </c>
      <c r="O76" s="163">
        <v>90000</v>
      </c>
      <c r="P76" s="153">
        <f t="shared" si="3"/>
        <v>1350000</v>
      </c>
      <c r="Q76" s="167" t="b">
        <f t="shared" si="4"/>
        <v>1</v>
      </c>
      <c r="R76" s="167"/>
      <c r="S76" s="136"/>
      <c r="T76" s="272" t="s">
        <v>414</v>
      </c>
      <c r="U76" s="51"/>
      <c r="V76" s="51"/>
      <c r="W76" s="56"/>
      <c r="X76" s="56"/>
      <c r="Y76" s="51"/>
      <c r="Z76" s="55"/>
      <c r="AA76" s="51"/>
      <c r="AB76" s="56"/>
      <c r="AC76" s="56"/>
      <c r="AD76" s="56"/>
      <c r="AE76" s="56"/>
      <c r="AF76" s="56"/>
      <c r="AG76" s="56"/>
      <c r="AH76" s="56"/>
      <c r="AI76" s="56"/>
      <c r="AJ76" s="56"/>
      <c r="AK76" s="56"/>
      <c r="AL76" s="56"/>
      <c r="AM76" s="51"/>
    </row>
    <row r="77" spans="1:39" x14ac:dyDescent="0.25">
      <c r="A77" s="86"/>
      <c r="B77" s="98"/>
      <c r="C77" s="80"/>
      <c r="D77" s="103"/>
      <c r="E77" s="96"/>
      <c r="F77" s="80"/>
      <c r="G77" s="51"/>
      <c r="H77" s="51"/>
      <c r="I77" s="51"/>
      <c r="J77" s="51"/>
      <c r="K77" s="152"/>
      <c r="L77" s="152"/>
      <c r="M77" s="152"/>
      <c r="N77" s="152"/>
      <c r="O77" s="163"/>
      <c r="P77" s="153">
        <f t="shared" si="3"/>
        <v>0</v>
      </c>
      <c r="Q77" s="167" t="b">
        <f t="shared" si="4"/>
        <v>1</v>
      </c>
      <c r="R77" s="167"/>
      <c r="S77" s="136"/>
      <c r="T77" s="272"/>
      <c r="U77" s="51"/>
      <c r="V77" s="51"/>
      <c r="W77" s="56"/>
      <c r="X77" s="56"/>
      <c r="Y77" s="51"/>
      <c r="Z77" s="55"/>
      <c r="AA77" s="51"/>
      <c r="AB77" s="56"/>
      <c r="AC77" s="56"/>
      <c r="AD77" s="56"/>
      <c r="AE77" s="56"/>
      <c r="AF77" s="56"/>
      <c r="AG77" s="56"/>
      <c r="AH77" s="56"/>
      <c r="AI77" s="56"/>
      <c r="AJ77" s="56"/>
      <c r="AK77" s="56"/>
      <c r="AL77" s="56"/>
      <c r="AM77" s="51"/>
    </row>
    <row r="78" spans="1:39" x14ac:dyDescent="0.25">
      <c r="A78" s="257" t="s">
        <v>398</v>
      </c>
      <c r="B78" s="81" t="s">
        <v>393</v>
      </c>
      <c r="C78" s="80"/>
      <c r="D78" s="103"/>
      <c r="E78" s="96"/>
      <c r="F78" s="80"/>
      <c r="G78" s="51"/>
      <c r="H78" s="51"/>
      <c r="I78" s="51"/>
      <c r="J78" s="51"/>
      <c r="K78" s="152"/>
      <c r="L78" s="152"/>
      <c r="M78" s="152"/>
      <c r="N78" s="152"/>
      <c r="O78" s="163"/>
      <c r="P78" s="153">
        <f t="shared" si="3"/>
        <v>0</v>
      </c>
      <c r="Q78" s="167" t="b">
        <f t="shared" si="4"/>
        <v>1</v>
      </c>
      <c r="R78" s="167"/>
      <c r="S78" s="136"/>
      <c r="T78" s="272"/>
      <c r="U78" s="147"/>
      <c r="V78" s="51"/>
      <c r="W78" s="56"/>
      <c r="X78" s="56"/>
      <c r="Y78" s="51"/>
      <c r="Z78" s="55"/>
      <c r="AA78" s="51"/>
      <c r="AB78" s="56"/>
      <c r="AC78" s="56"/>
      <c r="AD78" s="56"/>
      <c r="AE78" s="56"/>
      <c r="AF78" s="56"/>
      <c r="AG78" s="56"/>
      <c r="AH78" s="56"/>
      <c r="AI78" s="56"/>
      <c r="AJ78" s="56"/>
      <c r="AK78" s="56"/>
      <c r="AL78" s="56"/>
      <c r="AM78" s="51"/>
    </row>
    <row r="79" spans="1:39" x14ac:dyDescent="0.25">
      <c r="A79" s="258"/>
      <c r="B79" s="79" t="s">
        <v>397</v>
      </c>
      <c r="C79" s="80"/>
      <c r="D79" s="103"/>
      <c r="E79" s="96"/>
      <c r="F79" s="80"/>
      <c r="G79" s="51"/>
      <c r="H79" s="51"/>
      <c r="I79" s="51"/>
      <c r="J79" s="51"/>
      <c r="K79" s="152"/>
      <c r="L79" s="152"/>
      <c r="M79" s="152"/>
      <c r="N79" s="152"/>
      <c r="O79" s="163"/>
      <c r="P79" s="153">
        <f t="shared" si="3"/>
        <v>0</v>
      </c>
      <c r="Q79" s="167" t="b">
        <f t="shared" si="4"/>
        <v>1</v>
      </c>
      <c r="R79" s="167"/>
      <c r="S79" s="136"/>
      <c r="T79" s="55"/>
      <c r="U79" s="147"/>
      <c r="V79" s="51"/>
      <c r="W79" s="56"/>
      <c r="X79" s="56"/>
      <c r="Y79" s="51"/>
      <c r="Z79" s="55"/>
      <c r="AA79" s="51"/>
      <c r="AB79" s="56"/>
      <c r="AC79" s="56"/>
      <c r="AD79" s="56"/>
      <c r="AE79" s="56"/>
      <c r="AF79" s="56"/>
      <c r="AG79" s="56"/>
      <c r="AH79" s="56"/>
      <c r="AI79" s="56"/>
      <c r="AJ79" s="56"/>
      <c r="AK79" s="56"/>
      <c r="AL79" s="56"/>
      <c r="AM79" s="51"/>
    </row>
    <row r="80" spans="1:39" x14ac:dyDescent="0.25">
      <c r="A80" s="86" t="s">
        <v>399</v>
      </c>
      <c r="B80" s="79" t="s">
        <v>394</v>
      </c>
      <c r="C80" s="80" t="s">
        <v>47</v>
      </c>
      <c r="D80" s="103">
        <v>100</v>
      </c>
      <c r="E80" s="129">
        <v>535.5</v>
      </c>
      <c r="F80" s="80">
        <f t="shared" si="0"/>
        <v>53550</v>
      </c>
      <c r="G80" s="51"/>
      <c r="H80" s="51"/>
      <c r="I80" s="51"/>
      <c r="J80" s="51"/>
      <c r="K80" s="152"/>
      <c r="L80" s="152"/>
      <c r="M80" s="152">
        <v>535.5</v>
      </c>
      <c r="N80" s="152"/>
      <c r="O80" s="163">
        <v>535.5</v>
      </c>
      <c r="P80" s="153">
        <f t="shared" si="3"/>
        <v>53550</v>
      </c>
      <c r="Q80" s="167" t="b">
        <f t="shared" si="4"/>
        <v>1</v>
      </c>
      <c r="R80" s="167"/>
      <c r="S80" s="148">
        <v>535.5</v>
      </c>
      <c r="T80" s="272" t="s">
        <v>402</v>
      </c>
      <c r="U80" s="147"/>
      <c r="V80" s="51"/>
      <c r="W80" s="56"/>
      <c r="X80" s="56"/>
      <c r="Y80" s="51"/>
      <c r="Z80" s="55"/>
      <c r="AA80" s="51"/>
      <c r="AB80" s="56"/>
      <c r="AC80" s="56"/>
      <c r="AD80" s="56"/>
      <c r="AE80" s="56"/>
      <c r="AF80" s="56"/>
      <c r="AG80" s="56"/>
      <c r="AH80" s="56"/>
      <c r="AI80" s="56"/>
      <c r="AJ80" s="56"/>
      <c r="AK80" s="56"/>
      <c r="AL80" s="56"/>
      <c r="AM80" s="51"/>
    </row>
    <row r="81" spans="1:39" x14ac:dyDescent="0.25">
      <c r="A81" s="86" t="s">
        <v>400</v>
      </c>
      <c r="B81" s="79" t="s">
        <v>395</v>
      </c>
      <c r="C81" s="80" t="s">
        <v>47</v>
      </c>
      <c r="D81" s="103">
        <v>200</v>
      </c>
      <c r="E81" s="129">
        <v>357</v>
      </c>
      <c r="F81" s="80">
        <f t="shared" si="0"/>
        <v>71400</v>
      </c>
      <c r="G81" s="51"/>
      <c r="H81" s="51"/>
      <c r="I81" s="51"/>
      <c r="J81" s="51"/>
      <c r="K81" s="152"/>
      <c r="L81" s="152"/>
      <c r="M81" s="152">
        <v>357</v>
      </c>
      <c r="N81" s="152"/>
      <c r="O81" s="163">
        <v>357</v>
      </c>
      <c r="P81" s="153">
        <f t="shared" si="3"/>
        <v>71400</v>
      </c>
      <c r="Q81" s="167" t="b">
        <f t="shared" si="4"/>
        <v>1</v>
      </c>
      <c r="R81" s="167"/>
      <c r="S81" s="148">
        <v>357</v>
      </c>
      <c r="T81" s="272"/>
      <c r="U81" s="147"/>
      <c r="V81" s="51"/>
      <c r="W81" s="56"/>
      <c r="X81" s="56"/>
      <c r="Y81" s="51"/>
      <c r="Z81" s="55"/>
      <c r="AA81" s="51"/>
      <c r="AB81" s="56"/>
      <c r="AC81" s="56"/>
      <c r="AD81" s="56"/>
      <c r="AE81" s="56"/>
      <c r="AF81" s="56"/>
      <c r="AG81" s="56"/>
      <c r="AH81" s="56"/>
      <c r="AI81" s="56"/>
      <c r="AJ81" s="56"/>
      <c r="AK81" s="56"/>
      <c r="AL81" s="56"/>
      <c r="AM81" s="51"/>
    </row>
    <row r="82" spans="1:39" x14ac:dyDescent="0.25">
      <c r="A82" s="86" t="s">
        <v>401</v>
      </c>
      <c r="B82" s="79" t="s">
        <v>396</v>
      </c>
      <c r="C82" s="80" t="s">
        <v>47</v>
      </c>
      <c r="D82" s="103">
        <v>400</v>
      </c>
      <c r="E82" s="129">
        <v>238</v>
      </c>
      <c r="F82" s="80">
        <f t="shared" si="0"/>
        <v>95200</v>
      </c>
      <c r="G82" s="51"/>
      <c r="H82" s="51"/>
      <c r="I82" s="51"/>
      <c r="J82" s="51"/>
      <c r="K82" s="152"/>
      <c r="L82" s="152"/>
      <c r="M82" s="152">
        <v>238</v>
      </c>
      <c r="N82" s="152"/>
      <c r="O82" s="163">
        <v>238</v>
      </c>
      <c r="P82" s="153">
        <f t="shared" si="3"/>
        <v>95200</v>
      </c>
      <c r="Q82" s="167" t="b">
        <f t="shared" si="4"/>
        <v>1</v>
      </c>
      <c r="R82" s="167"/>
      <c r="S82" s="148">
        <v>238</v>
      </c>
      <c r="T82" s="272"/>
      <c r="U82" s="147"/>
      <c r="V82" s="51"/>
      <c r="W82" s="56"/>
      <c r="X82" s="56"/>
      <c r="Y82" s="51"/>
      <c r="Z82" s="55"/>
      <c r="AA82" s="51"/>
      <c r="AB82" s="56"/>
      <c r="AC82" s="56"/>
      <c r="AD82" s="56"/>
      <c r="AE82" s="56"/>
      <c r="AF82" s="56"/>
      <c r="AG82" s="56"/>
      <c r="AH82" s="56"/>
      <c r="AI82" s="56"/>
      <c r="AJ82" s="56"/>
      <c r="AK82" s="56"/>
      <c r="AL82" s="56"/>
      <c r="AM82" s="51"/>
    </row>
    <row r="83" spans="1:39" ht="30" customHeight="1" x14ac:dyDescent="0.25">
      <c r="A83" s="86"/>
      <c r="B83" s="79"/>
      <c r="C83" s="80"/>
      <c r="D83" s="103"/>
      <c r="E83" s="96"/>
      <c r="F83" s="80">
        <f t="shared" si="0"/>
        <v>0</v>
      </c>
      <c r="G83" s="51"/>
      <c r="H83" s="51"/>
      <c r="I83" s="51">
        <f t="shared" si="1"/>
        <v>0</v>
      </c>
      <c r="J83" s="51">
        <f t="shared" si="2"/>
        <v>0</v>
      </c>
      <c r="K83" s="152"/>
      <c r="L83" s="152"/>
      <c r="M83" s="152"/>
      <c r="N83" s="152"/>
      <c r="O83" s="163"/>
      <c r="P83" s="153">
        <f t="shared" si="3"/>
        <v>0</v>
      </c>
      <c r="Q83" s="167" t="b">
        <f t="shared" si="4"/>
        <v>1</v>
      </c>
      <c r="R83" s="167"/>
      <c r="S83" s="136"/>
      <c r="T83" s="55"/>
      <c r="U83" s="147"/>
      <c r="V83" s="51"/>
      <c r="W83" s="56"/>
      <c r="X83" s="56"/>
      <c r="Y83" s="51"/>
      <c r="Z83" s="55"/>
      <c r="AA83" s="51"/>
      <c r="AB83" s="56"/>
      <c r="AC83" s="56"/>
      <c r="AD83" s="56"/>
      <c r="AE83" s="56"/>
      <c r="AF83" s="56"/>
      <c r="AG83" s="56"/>
      <c r="AH83" s="56"/>
      <c r="AI83" s="56"/>
      <c r="AJ83" s="56"/>
      <c r="AK83" s="56"/>
      <c r="AL83" s="56"/>
      <c r="AM83" s="51"/>
    </row>
    <row r="84" spans="1:39" ht="36.75" customHeight="1" x14ac:dyDescent="0.25">
      <c r="A84" s="259" t="s">
        <v>231</v>
      </c>
      <c r="B84" s="260"/>
      <c r="C84" s="78"/>
      <c r="D84" s="104"/>
      <c r="E84" s="125"/>
      <c r="F84" s="80">
        <f t="shared" si="0"/>
        <v>0</v>
      </c>
      <c r="G84" s="51"/>
      <c r="H84" s="51"/>
      <c r="I84" s="51">
        <f t="shared" si="1"/>
        <v>0</v>
      </c>
      <c r="J84" s="51">
        <f t="shared" si="2"/>
        <v>0</v>
      </c>
      <c r="K84" s="152"/>
      <c r="L84" s="152"/>
      <c r="M84" s="152"/>
      <c r="N84" s="152"/>
      <c r="O84" s="163"/>
      <c r="P84" s="153">
        <f t="shared" si="3"/>
        <v>0</v>
      </c>
      <c r="Q84" s="167" t="b">
        <f t="shared" si="4"/>
        <v>1</v>
      </c>
      <c r="R84" s="167"/>
      <c r="S84" s="136"/>
      <c r="T84" s="55"/>
      <c r="U84" s="51"/>
      <c r="V84" s="51"/>
      <c r="W84" s="56"/>
      <c r="X84" s="56"/>
      <c r="Y84" s="56"/>
      <c r="Z84" s="56"/>
      <c r="AA84" s="56"/>
      <c r="AB84" s="56"/>
      <c r="AC84" s="56"/>
      <c r="AD84" s="56"/>
      <c r="AE84" s="56"/>
      <c r="AF84" s="56"/>
      <c r="AG84" s="56"/>
      <c r="AH84" s="56"/>
      <c r="AI84" s="56"/>
      <c r="AJ84" s="56"/>
      <c r="AK84" s="56"/>
      <c r="AL84" s="56"/>
      <c r="AM84" s="51">
        <f t="shared" si="8"/>
        <v>0</v>
      </c>
    </row>
    <row r="85" spans="1:39" ht="38.25" customHeight="1" x14ac:dyDescent="0.25">
      <c r="A85" s="71" t="s">
        <v>289</v>
      </c>
      <c r="B85" s="81" t="s">
        <v>261</v>
      </c>
      <c r="C85" s="80"/>
      <c r="D85" s="104"/>
      <c r="E85" s="96"/>
      <c r="F85" s="80">
        <f t="shared" si="0"/>
        <v>0</v>
      </c>
      <c r="G85" s="51"/>
      <c r="H85" s="51"/>
      <c r="I85" s="51">
        <f t="shared" si="1"/>
        <v>0</v>
      </c>
      <c r="J85" s="51">
        <f t="shared" si="2"/>
        <v>0</v>
      </c>
      <c r="K85" s="152"/>
      <c r="L85" s="152"/>
      <c r="M85" s="152"/>
      <c r="N85" s="152"/>
      <c r="O85" s="163"/>
      <c r="P85" s="153">
        <f t="shared" si="3"/>
        <v>0</v>
      </c>
      <c r="Q85" s="167" t="b">
        <f t="shared" si="4"/>
        <v>1</v>
      </c>
      <c r="R85" s="167"/>
      <c r="S85" s="136"/>
      <c r="T85" s="55"/>
      <c r="U85" s="51"/>
      <c r="V85" s="51"/>
      <c r="W85" s="56"/>
      <c r="X85" s="56"/>
      <c r="Y85" s="56"/>
      <c r="Z85" s="56"/>
      <c r="AA85" s="56"/>
      <c r="AB85" s="56"/>
      <c r="AC85" s="56"/>
      <c r="AD85" s="56"/>
      <c r="AE85" s="56"/>
      <c r="AF85" s="56"/>
      <c r="AG85" s="56"/>
      <c r="AH85" s="56"/>
      <c r="AI85" s="56"/>
      <c r="AJ85" s="56"/>
      <c r="AK85" s="56"/>
      <c r="AL85" s="56"/>
      <c r="AM85" s="51">
        <f t="shared" si="8"/>
        <v>0</v>
      </c>
    </row>
    <row r="86" spans="1:39" ht="144" customHeight="1" x14ac:dyDescent="0.25">
      <c r="A86" s="71" t="s">
        <v>290</v>
      </c>
      <c r="B86" s="79" t="s">
        <v>262</v>
      </c>
      <c r="C86" s="80" t="s">
        <v>102</v>
      </c>
      <c r="D86" s="103">
        <f>10*6</f>
        <v>60</v>
      </c>
      <c r="E86" s="96">
        <v>6002.8</v>
      </c>
      <c r="F86" s="80">
        <f t="shared" si="0"/>
        <v>360168</v>
      </c>
      <c r="G86" s="51"/>
      <c r="H86" s="51"/>
      <c r="I86" s="51">
        <f t="shared" si="1"/>
        <v>6603.0800000000008</v>
      </c>
      <c r="J86" s="51">
        <f t="shared" si="2"/>
        <v>396184.80000000005</v>
      </c>
      <c r="K86" s="152"/>
      <c r="L86" s="152"/>
      <c r="M86" s="152"/>
      <c r="N86" s="152"/>
      <c r="O86" s="163">
        <v>6002.8</v>
      </c>
      <c r="P86" s="153">
        <f t="shared" si="3"/>
        <v>360168</v>
      </c>
      <c r="Q86" s="167" t="b">
        <f t="shared" si="4"/>
        <v>1</v>
      </c>
      <c r="R86" s="167"/>
      <c r="S86" s="138"/>
      <c r="T86" s="56"/>
      <c r="U86" s="56"/>
      <c r="V86" s="56"/>
      <c r="W86" s="56"/>
      <c r="X86" s="56"/>
      <c r="Y86" s="56"/>
      <c r="Z86" s="56"/>
      <c r="AA86" s="56"/>
      <c r="AB86" s="56"/>
      <c r="AC86" s="56"/>
      <c r="AD86" s="56"/>
      <c r="AE86" s="56"/>
      <c r="AF86" s="56"/>
      <c r="AG86" s="56"/>
      <c r="AH86" s="56"/>
      <c r="AI86" s="56"/>
      <c r="AJ86" s="56"/>
      <c r="AK86" s="56"/>
      <c r="AL86" s="56"/>
      <c r="AM86" s="51">
        <f t="shared" si="8"/>
        <v>0</v>
      </c>
    </row>
    <row r="87" spans="1:39" ht="162" customHeight="1" x14ac:dyDescent="0.25">
      <c r="A87" s="71" t="s">
        <v>316</v>
      </c>
      <c r="B87" s="99" t="s">
        <v>232</v>
      </c>
      <c r="C87" s="80" t="s">
        <v>104</v>
      </c>
      <c r="D87" s="103">
        <f>15*50</f>
        <v>750</v>
      </c>
      <c r="E87" s="96">
        <v>66.31</v>
      </c>
      <c r="F87" s="80">
        <f t="shared" si="0"/>
        <v>49732.5</v>
      </c>
      <c r="G87" s="60"/>
      <c r="H87" s="60"/>
      <c r="I87" s="51">
        <f t="shared" si="1"/>
        <v>72.941000000000003</v>
      </c>
      <c r="J87" s="51">
        <f t="shared" si="2"/>
        <v>54705.75</v>
      </c>
      <c r="K87" s="152"/>
      <c r="L87" s="152"/>
      <c r="M87" s="152"/>
      <c r="N87" s="152"/>
      <c r="O87" s="163">
        <v>66.31</v>
      </c>
      <c r="P87" s="153">
        <f t="shared" si="3"/>
        <v>49732.5</v>
      </c>
      <c r="Q87" s="167" t="b">
        <f t="shared" si="4"/>
        <v>1</v>
      </c>
      <c r="R87" s="167"/>
      <c r="S87" s="139"/>
      <c r="T87" s="100"/>
      <c r="U87" s="100"/>
      <c r="V87" s="100"/>
      <c r="W87" s="100"/>
      <c r="X87" s="100"/>
      <c r="Y87" s="100"/>
      <c r="Z87" s="100"/>
      <c r="AA87" s="100"/>
      <c r="AB87" s="100"/>
      <c r="AC87" s="100"/>
      <c r="AD87" s="100"/>
      <c r="AE87" s="100"/>
      <c r="AF87" s="100"/>
      <c r="AG87" s="100"/>
      <c r="AH87" s="100"/>
      <c r="AI87" s="100"/>
      <c r="AJ87" s="100"/>
      <c r="AK87" s="100"/>
      <c r="AL87" s="100"/>
      <c r="AM87" s="60">
        <f t="shared" si="8"/>
        <v>0</v>
      </c>
    </row>
    <row r="88" spans="1:39" ht="37.5" customHeight="1" x14ac:dyDescent="0.25">
      <c r="A88" s="257" t="s">
        <v>317</v>
      </c>
      <c r="B88" s="81" t="s">
        <v>350</v>
      </c>
      <c r="C88" s="80"/>
      <c r="D88" s="104"/>
      <c r="E88" s="96"/>
      <c r="F88" s="80">
        <f t="shared" si="0"/>
        <v>0</v>
      </c>
      <c r="G88" s="51"/>
      <c r="H88" s="51"/>
      <c r="I88" s="51">
        <f t="shared" si="1"/>
        <v>0</v>
      </c>
      <c r="J88" s="51">
        <f t="shared" si="2"/>
        <v>0</v>
      </c>
      <c r="K88" s="152"/>
      <c r="L88" s="152"/>
      <c r="M88" s="152"/>
      <c r="N88" s="152"/>
      <c r="O88" s="163"/>
      <c r="P88" s="153">
        <f t="shared" si="3"/>
        <v>0</v>
      </c>
      <c r="Q88" s="167" t="b">
        <f t="shared" si="4"/>
        <v>1</v>
      </c>
      <c r="R88" s="167"/>
      <c r="S88" s="138"/>
      <c r="T88" s="56"/>
      <c r="U88" s="56"/>
      <c r="V88" s="56"/>
      <c r="W88" s="56"/>
      <c r="X88" s="56"/>
      <c r="Y88" s="56"/>
      <c r="Z88" s="56"/>
      <c r="AA88" s="56"/>
      <c r="AB88" s="56"/>
      <c r="AC88" s="56"/>
      <c r="AD88" s="56"/>
      <c r="AE88" s="56"/>
      <c r="AF88" s="56"/>
      <c r="AG88" s="56"/>
      <c r="AH88" s="56"/>
      <c r="AI88" s="56"/>
      <c r="AJ88" s="56"/>
      <c r="AK88" s="56"/>
      <c r="AL88" s="56"/>
      <c r="AM88" s="51">
        <f t="shared" si="8"/>
        <v>0</v>
      </c>
    </row>
    <row r="89" spans="1:39" ht="122.25" customHeight="1" x14ac:dyDescent="0.25">
      <c r="A89" s="258"/>
      <c r="B89" s="79" t="s">
        <v>351</v>
      </c>
      <c r="C89" s="80"/>
      <c r="D89" s="103"/>
      <c r="E89" s="96"/>
      <c r="F89" s="80">
        <f t="shared" si="0"/>
        <v>0</v>
      </c>
      <c r="G89" s="51"/>
      <c r="H89" s="51"/>
      <c r="I89" s="51">
        <f t="shared" si="1"/>
        <v>0</v>
      </c>
      <c r="J89" s="51">
        <f t="shared" si="2"/>
        <v>0</v>
      </c>
      <c r="K89" s="152"/>
      <c r="L89" s="152"/>
      <c r="M89" s="152"/>
      <c r="N89" s="152"/>
      <c r="O89" s="163"/>
      <c r="P89" s="153">
        <f t="shared" si="3"/>
        <v>0</v>
      </c>
      <c r="Q89" s="167" t="b">
        <f t="shared" si="4"/>
        <v>1</v>
      </c>
      <c r="R89" s="167"/>
      <c r="S89" s="138"/>
      <c r="T89" s="56"/>
      <c r="U89" s="56"/>
      <c r="V89" s="56"/>
      <c r="W89" s="56"/>
      <c r="X89" s="56"/>
      <c r="Y89" s="56"/>
      <c r="Z89" s="56"/>
      <c r="AA89" s="56"/>
      <c r="AB89" s="56"/>
      <c r="AC89" s="56"/>
      <c r="AD89" s="56"/>
      <c r="AE89" s="56"/>
      <c r="AF89" s="56"/>
      <c r="AG89" s="56"/>
      <c r="AH89" s="56"/>
      <c r="AI89" s="56"/>
      <c r="AJ89" s="56"/>
      <c r="AK89" s="56"/>
      <c r="AL89" s="56"/>
      <c r="AM89" s="51">
        <f t="shared" si="8"/>
        <v>0</v>
      </c>
    </row>
    <row r="90" spans="1:39" ht="27" customHeight="1" x14ac:dyDescent="0.25">
      <c r="A90" s="71" t="s">
        <v>318</v>
      </c>
      <c r="B90" s="79" t="s">
        <v>233</v>
      </c>
      <c r="C90" s="80" t="s">
        <v>47</v>
      </c>
      <c r="D90" s="103">
        <v>5</v>
      </c>
      <c r="E90" s="96">
        <v>27920</v>
      </c>
      <c r="F90" s="80">
        <f t="shared" si="0"/>
        <v>139600</v>
      </c>
      <c r="G90" s="51"/>
      <c r="H90" s="51"/>
      <c r="I90" s="51">
        <f t="shared" si="1"/>
        <v>30712.000000000004</v>
      </c>
      <c r="J90" s="51">
        <f t="shared" si="2"/>
        <v>153560.00000000003</v>
      </c>
      <c r="K90" s="152"/>
      <c r="L90" s="152"/>
      <c r="M90" s="152"/>
      <c r="N90" s="152"/>
      <c r="O90" s="163">
        <v>27920</v>
      </c>
      <c r="P90" s="153">
        <f t="shared" ref="P90:P121" si="9">D90*O90</f>
        <v>139600</v>
      </c>
      <c r="Q90" s="167" t="b">
        <f t="shared" ref="Q90:Q121" si="10">F90=P90</f>
        <v>1</v>
      </c>
      <c r="R90" s="167"/>
      <c r="S90" s="138"/>
      <c r="T90" s="56"/>
      <c r="U90" s="56"/>
      <c r="V90" s="56"/>
      <c r="W90" s="56"/>
      <c r="X90" s="56"/>
      <c r="Y90" s="51"/>
      <c r="Z90" s="55"/>
      <c r="AA90" s="51"/>
      <c r="AB90" s="56"/>
      <c r="AC90" s="56"/>
      <c r="AD90" s="56"/>
      <c r="AE90" s="56"/>
      <c r="AF90" s="56"/>
      <c r="AG90" s="56"/>
      <c r="AH90" s="56"/>
      <c r="AI90" s="56"/>
      <c r="AJ90" s="56"/>
      <c r="AK90" s="56">
        <f>AA90</f>
        <v>0</v>
      </c>
      <c r="AL90" s="56"/>
      <c r="AM90" s="51">
        <f>ROUND(AK90,-4)</f>
        <v>0</v>
      </c>
    </row>
    <row r="91" spans="1:39" ht="243" x14ac:dyDescent="0.25">
      <c r="A91" s="71" t="s">
        <v>319</v>
      </c>
      <c r="B91" s="79" t="s">
        <v>413</v>
      </c>
      <c r="C91" s="80" t="s">
        <v>47</v>
      </c>
      <c r="D91" s="103">
        <v>15</v>
      </c>
      <c r="E91" s="96">
        <v>43625</v>
      </c>
      <c r="F91" s="80">
        <f t="shared" si="0"/>
        <v>654375</v>
      </c>
      <c r="G91" s="60"/>
      <c r="H91" s="60"/>
      <c r="I91" s="60">
        <f t="shared" si="1"/>
        <v>47987.500000000007</v>
      </c>
      <c r="J91" s="60">
        <f t="shared" si="2"/>
        <v>719812.50000000012</v>
      </c>
      <c r="K91" s="152"/>
      <c r="L91" s="152"/>
      <c r="M91" s="152"/>
      <c r="N91" s="152"/>
      <c r="O91" s="163">
        <v>43625</v>
      </c>
      <c r="P91" s="153">
        <f t="shared" si="9"/>
        <v>654375</v>
      </c>
      <c r="Q91" s="167" t="b">
        <f t="shared" si="10"/>
        <v>1</v>
      </c>
      <c r="R91" s="167"/>
      <c r="S91" s="139"/>
      <c r="T91" s="100"/>
      <c r="U91" s="56"/>
      <c r="V91" s="56"/>
      <c r="W91" s="56"/>
      <c r="X91" s="56"/>
      <c r="Y91" s="51"/>
      <c r="Z91" s="55"/>
      <c r="AA91" s="51"/>
      <c r="AB91" s="56"/>
      <c r="AC91" s="56"/>
      <c r="AD91" s="56"/>
      <c r="AE91" s="56"/>
      <c r="AF91" s="56"/>
      <c r="AG91" s="56"/>
      <c r="AH91" s="56"/>
      <c r="AI91" s="56"/>
      <c r="AJ91" s="56"/>
      <c r="AK91" s="56">
        <f>AA91</f>
        <v>0</v>
      </c>
      <c r="AL91" s="56"/>
      <c r="AM91" s="51">
        <f>ROUND(AK91,-3)</f>
        <v>0</v>
      </c>
    </row>
    <row r="92" spans="1:39" ht="37.5" customHeight="1" x14ac:dyDescent="0.25">
      <c r="A92" s="71" t="s">
        <v>320</v>
      </c>
      <c r="B92" s="79" t="s">
        <v>235</v>
      </c>
      <c r="C92" s="80" t="s">
        <v>47</v>
      </c>
      <c r="D92" s="103">
        <v>50</v>
      </c>
      <c r="E92" s="96">
        <v>6282</v>
      </c>
      <c r="F92" s="80">
        <f t="shared" si="0"/>
        <v>314100</v>
      </c>
      <c r="G92" s="51"/>
      <c r="H92" s="51"/>
      <c r="I92" s="51">
        <f t="shared" si="1"/>
        <v>6910.2000000000007</v>
      </c>
      <c r="J92" s="51">
        <f t="shared" si="2"/>
        <v>345510.00000000006</v>
      </c>
      <c r="K92" s="152"/>
      <c r="L92" s="152"/>
      <c r="M92" s="152"/>
      <c r="N92" s="152"/>
      <c r="O92" s="163">
        <v>6282</v>
      </c>
      <c r="P92" s="153">
        <f t="shared" si="9"/>
        <v>314100</v>
      </c>
      <c r="Q92" s="167" t="b">
        <f t="shared" si="10"/>
        <v>1</v>
      </c>
      <c r="R92" s="167"/>
      <c r="S92" s="138"/>
      <c r="T92" s="56"/>
      <c r="U92" s="56"/>
      <c r="V92" s="56"/>
      <c r="W92" s="56"/>
      <c r="X92" s="56"/>
      <c r="Y92" s="51"/>
      <c r="Z92" s="55"/>
      <c r="AA92" s="51"/>
      <c r="AB92" s="56"/>
      <c r="AC92" s="56"/>
      <c r="AD92" s="56"/>
      <c r="AE92" s="56"/>
      <c r="AF92" s="56"/>
      <c r="AG92" s="56"/>
      <c r="AH92" s="56"/>
      <c r="AI92" s="56"/>
      <c r="AJ92" s="56"/>
      <c r="AK92" s="56">
        <f>AA92</f>
        <v>0</v>
      </c>
      <c r="AL92" s="56"/>
      <c r="AM92" s="51">
        <f>ROUND(AK92,-3)</f>
        <v>0</v>
      </c>
    </row>
    <row r="93" spans="1:39" ht="35.25" customHeight="1" x14ac:dyDescent="0.25">
      <c r="A93" s="257" t="s">
        <v>326</v>
      </c>
      <c r="B93" s="81" t="s">
        <v>236</v>
      </c>
      <c r="C93" s="80"/>
      <c r="D93" s="104"/>
      <c r="E93" s="96"/>
      <c r="F93" s="80">
        <f t="shared" si="0"/>
        <v>0</v>
      </c>
      <c r="G93" s="51"/>
      <c r="H93" s="51"/>
      <c r="I93" s="51">
        <f t="shared" si="1"/>
        <v>0</v>
      </c>
      <c r="J93" s="51">
        <f t="shared" si="2"/>
        <v>0</v>
      </c>
      <c r="K93" s="152"/>
      <c r="L93" s="152"/>
      <c r="M93" s="152"/>
      <c r="N93" s="152"/>
      <c r="O93" s="163"/>
      <c r="P93" s="153">
        <f t="shared" si="9"/>
        <v>0</v>
      </c>
      <c r="Q93" s="167" t="b">
        <f t="shared" si="10"/>
        <v>1</v>
      </c>
      <c r="R93" s="167"/>
      <c r="S93" s="138"/>
      <c r="T93" s="56"/>
      <c r="U93" s="56"/>
      <c r="V93" s="56"/>
      <c r="W93" s="56"/>
      <c r="X93" s="56"/>
      <c r="Y93" s="56"/>
      <c r="Z93" s="56"/>
      <c r="AA93" s="56"/>
      <c r="AB93" s="56"/>
      <c r="AC93" s="56"/>
      <c r="AD93" s="56"/>
      <c r="AE93" s="56"/>
      <c r="AF93" s="56"/>
      <c r="AG93" s="56"/>
      <c r="AH93" s="56"/>
      <c r="AI93" s="56"/>
      <c r="AJ93" s="56"/>
      <c r="AK93" s="56"/>
      <c r="AL93" s="56"/>
      <c r="AM93" s="51">
        <f>ROUND(AK93,-1)</f>
        <v>0</v>
      </c>
    </row>
    <row r="94" spans="1:39" ht="74.25" customHeight="1" x14ac:dyDescent="0.25">
      <c r="A94" s="258"/>
      <c r="B94" s="79" t="s">
        <v>237</v>
      </c>
      <c r="C94" s="80"/>
      <c r="D94" s="103"/>
      <c r="E94" s="96"/>
      <c r="F94" s="80">
        <f t="shared" si="0"/>
        <v>0</v>
      </c>
      <c r="G94" s="51"/>
      <c r="H94" s="51"/>
      <c r="I94" s="51">
        <f t="shared" si="1"/>
        <v>0</v>
      </c>
      <c r="J94" s="51">
        <f t="shared" si="2"/>
        <v>0</v>
      </c>
      <c r="K94" s="152"/>
      <c r="L94" s="152"/>
      <c r="M94" s="152"/>
      <c r="N94" s="152"/>
      <c r="O94" s="163"/>
      <c r="P94" s="153">
        <f t="shared" si="9"/>
        <v>0</v>
      </c>
      <c r="Q94" s="167" t="b">
        <f t="shared" si="10"/>
        <v>1</v>
      </c>
      <c r="R94" s="167"/>
      <c r="S94" s="138"/>
      <c r="T94" s="56"/>
      <c r="U94" s="56"/>
      <c r="V94" s="56"/>
      <c r="W94" s="56"/>
      <c r="X94" s="56"/>
      <c r="Y94" s="56"/>
      <c r="Z94" s="56"/>
      <c r="AA94" s="56"/>
      <c r="AB94" s="56"/>
      <c r="AC94" s="51"/>
      <c r="AD94" s="51"/>
      <c r="AE94" s="51"/>
      <c r="AF94" s="51"/>
      <c r="AG94" s="56"/>
      <c r="AH94" s="56"/>
      <c r="AI94" s="56"/>
      <c r="AJ94" s="56" t="s">
        <v>238</v>
      </c>
      <c r="AK94" s="56"/>
      <c r="AL94" s="56"/>
      <c r="AM94" s="51">
        <f>ROUND(AK94,-1)</f>
        <v>0</v>
      </c>
    </row>
    <row r="95" spans="1:39" ht="24" customHeight="1" x14ac:dyDescent="0.25">
      <c r="A95" s="71" t="s">
        <v>327</v>
      </c>
      <c r="B95" s="79" t="s">
        <v>403</v>
      </c>
      <c r="C95" s="80" t="s">
        <v>47</v>
      </c>
      <c r="D95" s="103">
        <v>13</v>
      </c>
      <c r="E95" s="96">
        <v>23034</v>
      </c>
      <c r="F95" s="80">
        <f t="shared" si="0"/>
        <v>299442</v>
      </c>
      <c r="G95" s="51"/>
      <c r="H95" s="51"/>
      <c r="I95" s="51">
        <f t="shared" si="1"/>
        <v>25337.4</v>
      </c>
      <c r="J95" s="51">
        <f t="shared" si="2"/>
        <v>329386.2</v>
      </c>
      <c r="K95" s="152"/>
      <c r="L95" s="152"/>
      <c r="M95" s="152"/>
      <c r="N95" s="152"/>
      <c r="O95" s="129">
        <v>23034</v>
      </c>
      <c r="P95" s="153">
        <f t="shared" si="9"/>
        <v>299442</v>
      </c>
      <c r="Q95" s="167" t="b">
        <f t="shared" si="10"/>
        <v>1</v>
      </c>
      <c r="R95" s="167"/>
      <c r="S95" s="136"/>
      <c r="T95" s="58"/>
      <c r="U95" s="51"/>
      <c r="V95" s="56"/>
      <c r="W95" s="56"/>
      <c r="X95" s="56"/>
      <c r="Y95" s="56"/>
      <c r="Z95" s="56"/>
      <c r="AA95" s="56"/>
      <c r="AB95" s="56"/>
      <c r="AC95" s="51"/>
      <c r="AD95" s="51"/>
      <c r="AE95" s="51"/>
      <c r="AF95" s="51"/>
      <c r="AG95" s="56"/>
      <c r="AH95" s="56"/>
      <c r="AI95" s="56"/>
      <c r="AJ95" s="56">
        <f>1*1</f>
        <v>1</v>
      </c>
      <c r="AK95" s="51" t="e">
        <f>AJ95*AVERAGE(#REF!,$H$95)</f>
        <v>#REF!</v>
      </c>
      <c r="AL95" s="56"/>
      <c r="AM95" s="51" t="e">
        <f>ROUND(AK95,-3)</f>
        <v>#REF!</v>
      </c>
    </row>
    <row r="96" spans="1:39" ht="27.95" customHeight="1" x14ac:dyDescent="0.25">
      <c r="A96" s="71" t="s">
        <v>328</v>
      </c>
      <c r="B96" s="79" t="s">
        <v>404</v>
      </c>
      <c r="C96" s="80" t="s">
        <v>47</v>
      </c>
      <c r="D96" s="103">
        <v>3</v>
      </c>
      <c r="E96" s="96">
        <v>34202</v>
      </c>
      <c r="F96" s="80">
        <f t="shared" si="0"/>
        <v>102606</v>
      </c>
      <c r="G96" s="51"/>
      <c r="H96" s="51"/>
      <c r="I96" s="51">
        <f t="shared" si="1"/>
        <v>37622.200000000004</v>
      </c>
      <c r="J96" s="51">
        <f t="shared" si="2"/>
        <v>112866.6</v>
      </c>
      <c r="K96" s="152"/>
      <c r="L96" s="152"/>
      <c r="M96" s="152"/>
      <c r="N96" s="152"/>
      <c r="O96" s="129">
        <v>34202</v>
      </c>
      <c r="P96" s="153">
        <f t="shared" si="9"/>
        <v>102606</v>
      </c>
      <c r="Q96" s="167" t="b">
        <f t="shared" si="10"/>
        <v>1</v>
      </c>
      <c r="R96" s="167"/>
      <c r="S96" s="136"/>
      <c r="T96" s="58"/>
      <c r="U96" s="51"/>
      <c r="V96" s="56"/>
      <c r="W96" s="56"/>
      <c r="X96" s="56"/>
      <c r="Y96" s="56"/>
      <c r="Z96" s="55"/>
      <c r="AA96" s="51"/>
      <c r="AB96" s="56"/>
      <c r="AC96" s="51"/>
      <c r="AD96" s="51"/>
      <c r="AE96" s="51"/>
      <c r="AF96" s="51"/>
      <c r="AG96" s="56"/>
      <c r="AH96" s="56"/>
      <c r="AI96" s="56"/>
      <c r="AJ96" s="56">
        <f>1.5*1</f>
        <v>1.5</v>
      </c>
      <c r="AK96" s="51" t="e">
        <f>AJ96*AVERAGE(#REF!,$H$95)</f>
        <v>#REF!</v>
      </c>
      <c r="AL96" s="56"/>
      <c r="AM96" s="51" t="e">
        <f>ROUND(AK96,-3)</f>
        <v>#REF!</v>
      </c>
    </row>
    <row r="97" spans="1:39" ht="24" customHeight="1" x14ac:dyDescent="0.25">
      <c r="A97" s="86"/>
      <c r="B97" s="98"/>
      <c r="C97" s="80"/>
      <c r="D97" s="103"/>
      <c r="E97" s="96"/>
      <c r="F97" s="80"/>
      <c r="G97" s="51"/>
      <c r="H97" s="51"/>
      <c r="I97" s="51"/>
      <c r="J97" s="51"/>
      <c r="K97" s="152"/>
      <c r="L97" s="152"/>
      <c r="M97" s="152"/>
      <c r="N97" s="152"/>
      <c r="O97" s="163"/>
      <c r="P97" s="153">
        <f t="shared" si="9"/>
        <v>0</v>
      </c>
      <c r="Q97" s="167" t="b">
        <f t="shared" si="10"/>
        <v>1</v>
      </c>
      <c r="R97" s="167"/>
      <c r="S97" s="138"/>
      <c r="T97" s="56"/>
      <c r="U97" s="56"/>
      <c r="V97" s="56"/>
      <c r="W97" s="56"/>
      <c r="X97" s="56"/>
      <c r="Y97" s="56"/>
      <c r="Z97" s="55"/>
      <c r="AA97" s="51"/>
      <c r="AB97" s="56"/>
      <c r="AC97" s="51"/>
      <c r="AD97" s="51"/>
      <c r="AE97" s="51"/>
      <c r="AF97" s="51"/>
      <c r="AG97" s="56"/>
      <c r="AH97" s="56"/>
      <c r="AI97" s="56"/>
      <c r="AJ97" s="56"/>
      <c r="AK97" s="51"/>
      <c r="AL97" s="56"/>
      <c r="AM97" s="51"/>
    </row>
    <row r="98" spans="1:39" ht="101.25" x14ac:dyDescent="0.25">
      <c r="A98" s="86"/>
      <c r="B98" s="79" t="s">
        <v>250</v>
      </c>
      <c r="C98" s="80"/>
      <c r="D98" s="103"/>
      <c r="E98" s="96"/>
      <c r="F98" s="80">
        <f>D98*E98</f>
        <v>0</v>
      </c>
      <c r="G98" s="51"/>
      <c r="H98" s="62"/>
      <c r="I98" s="51">
        <f>E98*1.1</f>
        <v>0</v>
      </c>
      <c r="J98" s="51">
        <f>I98*D98</f>
        <v>0</v>
      </c>
      <c r="K98" s="152"/>
      <c r="L98" s="152"/>
      <c r="M98" s="152"/>
      <c r="N98" s="152"/>
      <c r="O98" s="163"/>
      <c r="P98" s="153">
        <f t="shared" si="9"/>
        <v>0</v>
      </c>
      <c r="Q98" s="167" t="b">
        <f t="shared" si="10"/>
        <v>1</v>
      </c>
      <c r="R98" s="167"/>
      <c r="S98" s="138"/>
      <c r="T98" s="56"/>
      <c r="U98" s="56"/>
      <c r="V98" s="56"/>
      <c r="W98" s="56"/>
      <c r="X98" s="56"/>
      <c r="Y98" s="56"/>
      <c r="Z98" s="55"/>
      <c r="AA98" s="51"/>
      <c r="AB98" s="56"/>
      <c r="AC98" s="51"/>
      <c r="AD98" s="51"/>
      <c r="AE98" s="51"/>
      <c r="AF98" s="51"/>
      <c r="AG98" s="56"/>
      <c r="AH98" s="56"/>
      <c r="AI98" s="56"/>
      <c r="AJ98" s="56"/>
      <c r="AK98" s="51"/>
      <c r="AL98" s="56"/>
      <c r="AM98" s="51"/>
    </row>
    <row r="99" spans="1:39" ht="24" customHeight="1" x14ac:dyDescent="0.3">
      <c r="A99" s="86"/>
      <c r="B99" s="79" t="s">
        <v>251</v>
      </c>
      <c r="C99" s="80" t="s">
        <v>148</v>
      </c>
      <c r="D99" s="103">
        <v>1000</v>
      </c>
      <c r="E99" s="129">
        <v>349</v>
      </c>
      <c r="F99" s="80">
        <f>D99*E99</f>
        <v>349000</v>
      </c>
      <c r="G99" s="64"/>
      <c r="H99" s="103">
        <v>3000</v>
      </c>
      <c r="I99" s="51">
        <f>E99*1.1</f>
        <v>383.90000000000003</v>
      </c>
      <c r="J99" s="51">
        <f>I99*D99</f>
        <v>383900.00000000006</v>
      </c>
      <c r="K99" s="152"/>
      <c r="L99" s="152">
        <v>805</v>
      </c>
      <c r="M99" s="152"/>
      <c r="N99" s="152"/>
      <c r="O99" s="163">
        <v>805</v>
      </c>
      <c r="P99" s="153">
        <f t="shared" si="9"/>
        <v>805000</v>
      </c>
      <c r="Q99" s="167" t="b">
        <f t="shared" si="10"/>
        <v>0</v>
      </c>
      <c r="R99" s="167"/>
      <c r="S99" s="140">
        <v>805</v>
      </c>
      <c r="T99" s="273" t="s">
        <v>363</v>
      </c>
      <c r="U99" s="56"/>
      <c r="V99" s="56"/>
      <c r="W99" s="56"/>
      <c r="X99" s="56"/>
      <c r="Y99" s="56"/>
      <c r="Z99" s="55"/>
      <c r="AA99" s="51"/>
      <c r="AB99" s="56"/>
      <c r="AC99" s="51"/>
      <c r="AD99" s="51"/>
      <c r="AE99" s="51"/>
      <c r="AF99" s="51"/>
      <c r="AG99" s="56"/>
      <c r="AH99" s="56"/>
      <c r="AI99" s="56"/>
      <c r="AJ99" s="56"/>
      <c r="AK99" s="51"/>
      <c r="AL99" s="56"/>
      <c r="AM99" s="51"/>
    </row>
    <row r="100" spans="1:39" ht="24" customHeight="1" x14ac:dyDescent="0.3">
      <c r="A100" s="86"/>
      <c r="B100" s="79" t="s">
        <v>252</v>
      </c>
      <c r="C100" s="80" t="s">
        <v>148</v>
      </c>
      <c r="D100" s="103">
        <v>5000</v>
      </c>
      <c r="E100" s="96">
        <v>355.98</v>
      </c>
      <c r="F100" s="80">
        <f>D100*E100</f>
        <v>1779900</v>
      </c>
      <c r="G100" s="64"/>
      <c r="H100" s="105">
        <v>13000</v>
      </c>
      <c r="I100" s="51">
        <f>E100*1.1</f>
        <v>391.57800000000003</v>
      </c>
      <c r="J100" s="51">
        <f>I100*D100</f>
        <v>1957890.0000000002</v>
      </c>
      <c r="K100" s="152"/>
      <c r="L100" s="152"/>
      <c r="M100" s="152"/>
      <c r="N100" s="152"/>
      <c r="O100" s="163">
        <v>355.98</v>
      </c>
      <c r="P100" s="153">
        <f t="shared" si="9"/>
        <v>1779900</v>
      </c>
      <c r="Q100" s="167" t="b">
        <f t="shared" si="10"/>
        <v>1</v>
      </c>
      <c r="R100" s="167"/>
      <c r="S100" s="140"/>
      <c r="T100" s="273"/>
      <c r="U100" s="56"/>
      <c r="V100" s="56"/>
      <c r="W100" s="56"/>
      <c r="X100" s="56"/>
      <c r="Y100" s="56"/>
      <c r="Z100" s="55"/>
      <c r="AA100" s="51"/>
      <c r="AB100" s="56"/>
      <c r="AC100" s="51"/>
      <c r="AD100" s="51"/>
      <c r="AE100" s="51"/>
      <c r="AF100" s="51"/>
      <c r="AG100" s="56"/>
      <c r="AH100" s="56"/>
      <c r="AI100" s="56"/>
      <c r="AJ100" s="56"/>
      <c r="AK100" s="51"/>
      <c r="AL100" s="56"/>
      <c r="AM100" s="51"/>
    </row>
    <row r="101" spans="1:39" ht="24" customHeight="1" x14ac:dyDescent="0.3">
      <c r="A101" s="86"/>
      <c r="B101" s="79" t="s">
        <v>253</v>
      </c>
      <c r="C101" s="80" t="s">
        <v>148</v>
      </c>
      <c r="D101" s="103">
        <v>6000</v>
      </c>
      <c r="E101" s="129">
        <v>418.8</v>
      </c>
      <c r="F101" s="80">
        <f>D101*E101</f>
        <v>2512800</v>
      </c>
      <c r="G101" s="64"/>
      <c r="H101" s="103">
        <v>2000</v>
      </c>
      <c r="I101" s="51">
        <f>E101*1.1</f>
        <v>460.68000000000006</v>
      </c>
      <c r="J101" s="51">
        <f>I101*D101</f>
        <v>2764080.0000000005</v>
      </c>
      <c r="K101" s="152"/>
      <c r="L101" s="152">
        <v>637</v>
      </c>
      <c r="M101" s="152"/>
      <c r="N101" s="152"/>
      <c r="O101" s="163">
        <v>637</v>
      </c>
      <c r="P101" s="153">
        <f t="shared" si="9"/>
        <v>3822000</v>
      </c>
      <c r="Q101" s="167" t="b">
        <f t="shared" si="10"/>
        <v>0</v>
      </c>
      <c r="R101" s="167"/>
      <c r="S101" s="140">
        <v>637</v>
      </c>
      <c r="T101" s="273"/>
      <c r="U101" s="56"/>
      <c r="V101" s="56"/>
      <c r="W101" s="56"/>
      <c r="X101" s="56"/>
      <c r="Y101" s="56"/>
      <c r="Z101" s="55"/>
      <c r="AA101" s="51"/>
      <c r="AB101" s="56"/>
      <c r="AC101" s="51"/>
      <c r="AD101" s="51"/>
      <c r="AE101" s="51"/>
      <c r="AF101" s="51"/>
      <c r="AG101" s="56"/>
      <c r="AH101" s="56"/>
      <c r="AI101" s="56"/>
      <c r="AJ101" s="56"/>
      <c r="AK101" s="51"/>
      <c r="AL101" s="56"/>
      <c r="AM101" s="51"/>
    </row>
    <row r="102" spans="1:39" ht="24" customHeight="1" x14ac:dyDescent="0.25">
      <c r="A102" s="86"/>
      <c r="B102" s="79" t="s">
        <v>254</v>
      </c>
      <c r="C102" s="80" t="s">
        <v>148</v>
      </c>
      <c r="D102" s="103">
        <v>1000</v>
      </c>
      <c r="E102" s="96">
        <v>251.28</v>
      </c>
      <c r="F102" s="80">
        <f>D102*E102</f>
        <v>251280</v>
      </c>
      <c r="G102" s="65"/>
      <c r="H102" s="106">
        <v>3000</v>
      </c>
      <c r="I102" s="51">
        <f>E102*1.1</f>
        <v>276.40800000000002</v>
      </c>
      <c r="J102" s="51">
        <f>I102*D102</f>
        <v>276408</v>
      </c>
      <c r="K102" s="152"/>
      <c r="L102" s="152"/>
      <c r="M102" s="152"/>
      <c r="N102" s="152"/>
      <c r="O102" s="163">
        <v>251.28</v>
      </c>
      <c r="P102" s="153">
        <f t="shared" si="9"/>
        <v>251280</v>
      </c>
      <c r="Q102" s="167" t="b">
        <f t="shared" si="10"/>
        <v>1</v>
      </c>
      <c r="R102" s="167"/>
      <c r="S102" s="138"/>
      <c r="T102" s="56"/>
      <c r="U102" s="56"/>
      <c r="V102" s="56"/>
      <c r="W102" s="56"/>
      <c r="X102" s="56"/>
      <c r="Y102" s="56"/>
      <c r="Z102" s="55"/>
      <c r="AA102" s="51"/>
      <c r="AB102" s="56"/>
      <c r="AC102" s="51"/>
      <c r="AD102" s="51"/>
      <c r="AE102" s="51"/>
      <c r="AF102" s="51"/>
      <c r="AG102" s="56"/>
      <c r="AH102" s="56"/>
      <c r="AI102" s="56"/>
      <c r="AJ102" s="56"/>
      <c r="AK102" s="51"/>
      <c r="AL102" s="56"/>
      <c r="AM102" s="51"/>
    </row>
    <row r="103" spans="1:39" ht="24" customHeight="1" x14ac:dyDescent="0.25">
      <c r="A103" s="86"/>
      <c r="B103" s="98"/>
      <c r="C103" s="80"/>
      <c r="D103" s="103"/>
      <c r="E103" s="96"/>
      <c r="F103" s="80"/>
      <c r="G103" s="51"/>
      <c r="H103" s="51"/>
      <c r="I103" s="51"/>
      <c r="J103" s="51"/>
      <c r="K103" s="152"/>
      <c r="L103" s="152"/>
      <c r="M103" s="152"/>
      <c r="N103" s="152"/>
      <c r="O103" s="163"/>
      <c r="P103" s="153">
        <f t="shared" si="9"/>
        <v>0</v>
      </c>
      <c r="Q103" s="167" t="b">
        <f t="shared" si="10"/>
        <v>1</v>
      </c>
      <c r="R103" s="167"/>
      <c r="S103" s="138"/>
      <c r="T103" s="56"/>
      <c r="U103" s="56"/>
      <c r="V103" s="56"/>
      <c r="W103" s="56"/>
      <c r="X103" s="56"/>
      <c r="Y103" s="56"/>
      <c r="Z103" s="55"/>
      <c r="AA103" s="51"/>
      <c r="AB103" s="56"/>
      <c r="AC103" s="51"/>
      <c r="AD103" s="51"/>
      <c r="AE103" s="51"/>
      <c r="AF103" s="51"/>
      <c r="AG103" s="56"/>
      <c r="AH103" s="56"/>
      <c r="AI103" s="56"/>
      <c r="AJ103" s="56"/>
      <c r="AK103" s="51"/>
      <c r="AL103" s="56"/>
      <c r="AM103" s="51"/>
    </row>
    <row r="104" spans="1:39" s="52" customFormat="1" ht="42" customHeight="1" x14ac:dyDescent="0.25">
      <c r="A104" s="259" t="s">
        <v>243</v>
      </c>
      <c r="B104" s="260"/>
      <c r="C104" s="80"/>
      <c r="D104" s="104"/>
      <c r="E104" s="96"/>
      <c r="F104" s="80">
        <f t="shared" si="0"/>
        <v>0</v>
      </c>
      <c r="G104" s="51"/>
      <c r="H104" s="51"/>
      <c r="I104" s="51">
        <f t="shared" si="1"/>
        <v>0</v>
      </c>
      <c r="J104" s="51">
        <f t="shared" si="2"/>
        <v>0</v>
      </c>
      <c r="K104" s="152"/>
      <c r="L104" s="152"/>
      <c r="M104" s="152"/>
      <c r="N104" s="152"/>
      <c r="O104" s="163"/>
      <c r="P104" s="153">
        <f t="shared" si="9"/>
        <v>0</v>
      </c>
      <c r="Q104" s="167" t="b">
        <f t="shared" si="10"/>
        <v>1</v>
      </c>
      <c r="R104" s="167"/>
      <c r="S104" s="138"/>
      <c r="T104" s="56"/>
      <c r="U104" s="56"/>
      <c r="V104" s="56"/>
      <c r="W104" s="56"/>
      <c r="X104" s="56"/>
      <c r="Y104" s="56"/>
      <c r="Z104" s="56"/>
      <c r="AA104" s="56"/>
      <c r="AB104" s="56"/>
      <c r="AC104" s="56"/>
      <c r="AD104" s="56"/>
      <c r="AE104" s="56"/>
      <c r="AF104" s="56"/>
      <c r="AG104" s="56"/>
      <c r="AH104" s="56"/>
      <c r="AI104" s="56"/>
      <c r="AJ104" s="56"/>
      <c r="AK104" s="56"/>
      <c r="AL104" s="56"/>
      <c r="AM104" s="51">
        <f>ROUND(AK104,-1)</f>
        <v>0</v>
      </c>
    </row>
    <row r="105" spans="1:39" ht="184.5" customHeight="1" x14ac:dyDescent="0.25">
      <c r="A105" s="71" t="s">
        <v>291</v>
      </c>
      <c r="B105" s="79" t="s">
        <v>244</v>
      </c>
      <c r="C105" s="80"/>
      <c r="D105" s="103"/>
      <c r="E105" s="96"/>
      <c r="F105" s="80">
        <f t="shared" si="0"/>
        <v>0</v>
      </c>
      <c r="G105" s="51"/>
      <c r="H105" s="60"/>
      <c r="I105" s="51">
        <f t="shared" si="1"/>
        <v>0</v>
      </c>
      <c r="J105" s="51">
        <f t="shared" si="2"/>
        <v>0</v>
      </c>
      <c r="K105" s="152"/>
      <c r="L105" s="152"/>
      <c r="M105" s="152"/>
      <c r="N105" s="152"/>
      <c r="O105" s="163"/>
      <c r="P105" s="153">
        <f t="shared" si="9"/>
        <v>0</v>
      </c>
      <c r="Q105" s="167" t="b">
        <f t="shared" si="10"/>
        <v>1</v>
      </c>
      <c r="R105" s="167"/>
      <c r="S105" s="138"/>
      <c r="T105" s="56"/>
      <c r="U105" s="56"/>
      <c r="V105" s="56"/>
      <c r="W105" s="56"/>
      <c r="X105" s="56"/>
      <c r="Y105" s="56"/>
      <c r="Z105" s="56"/>
      <c r="AA105" s="56"/>
      <c r="AB105" s="56"/>
      <c r="AC105" s="56"/>
      <c r="AD105" s="56"/>
      <c r="AE105" s="56"/>
      <c r="AF105" s="56"/>
      <c r="AG105" s="56"/>
      <c r="AH105" s="56"/>
      <c r="AI105" s="56"/>
      <c r="AJ105" s="56"/>
      <c r="AK105" s="56"/>
      <c r="AL105" s="56"/>
      <c r="AM105" s="51">
        <f>ROUND(AK105,-1)</f>
        <v>0</v>
      </c>
    </row>
    <row r="106" spans="1:39" ht="35.1" customHeight="1" x14ac:dyDescent="0.25">
      <c r="A106" s="71" t="s">
        <v>292</v>
      </c>
      <c r="B106" s="79" t="s">
        <v>245</v>
      </c>
      <c r="C106" s="80" t="s">
        <v>47</v>
      </c>
      <c r="D106" s="103">
        <v>5000</v>
      </c>
      <c r="E106" s="96">
        <v>181.48</v>
      </c>
      <c r="F106" s="80">
        <f t="shared" si="0"/>
        <v>907400</v>
      </c>
      <c r="G106" s="51"/>
      <c r="H106" s="60"/>
      <c r="I106" s="51">
        <f t="shared" si="1"/>
        <v>199.62800000000001</v>
      </c>
      <c r="J106" s="51">
        <f t="shared" si="2"/>
        <v>998140.00000000012</v>
      </c>
      <c r="K106" s="152"/>
      <c r="L106" s="152"/>
      <c r="M106" s="152"/>
      <c r="N106" s="152"/>
      <c r="O106" s="129">
        <v>181.48</v>
      </c>
      <c r="P106" s="153">
        <f t="shared" si="9"/>
        <v>907400</v>
      </c>
      <c r="Q106" s="167" t="b">
        <f t="shared" si="10"/>
        <v>1</v>
      </c>
      <c r="R106" s="167"/>
      <c r="S106" s="138"/>
      <c r="T106" s="56"/>
      <c r="U106" s="56"/>
      <c r="V106" s="56"/>
      <c r="W106" s="56"/>
      <c r="X106" s="56"/>
      <c r="Y106" s="51"/>
      <c r="Z106" s="55"/>
      <c r="AA106" s="51"/>
      <c r="AB106" s="56"/>
      <c r="AC106" s="56"/>
      <c r="AD106" s="56"/>
      <c r="AE106" s="56"/>
      <c r="AF106" s="56"/>
      <c r="AG106" s="56"/>
      <c r="AH106" s="56"/>
      <c r="AI106" s="56"/>
      <c r="AJ106" s="56"/>
      <c r="AK106" s="56" t="e">
        <f>AVERAGE(G106,AA106)</f>
        <v>#DIV/0!</v>
      </c>
      <c r="AL106" s="56"/>
      <c r="AM106" s="51" t="e">
        <f>ROUNDUP(AK106,-1)</f>
        <v>#DIV/0!</v>
      </c>
    </row>
    <row r="107" spans="1:39" ht="35.1" customHeight="1" x14ac:dyDescent="0.25">
      <c r="A107" s="71" t="s">
        <v>293</v>
      </c>
      <c r="B107" s="79" t="s">
        <v>246</v>
      </c>
      <c r="C107" s="80" t="s">
        <v>47</v>
      </c>
      <c r="D107" s="103">
        <v>50</v>
      </c>
      <c r="E107" s="96">
        <v>1326.2</v>
      </c>
      <c r="F107" s="80">
        <f t="shared" si="0"/>
        <v>66310</v>
      </c>
      <c r="G107" s="51"/>
      <c r="H107" s="61"/>
      <c r="I107" s="51">
        <f t="shared" si="1"/>
        <v>1458.8200000000002</v>
      </c>
      <c r="J107" s="51">
        <f t="shared" si="2"/>
        <v>72941.000000000015</v>
      </c>
      <c r="K107" s="152"/>
      <c r="L107" s="152"/>
      <c r="M107" s="152"/>
      <c r="N107" s="152"/>
      <c r="O107" s="129">
        <v>1326.2</v>
      </c>
      <c r="P107" s="153">
        <f t="shared" si="9"/>
        <v>66310</v>
      </c>
      <c r="Q107" s="167" t="b">
        <f t="shared" si="10"/>
        <v>1</v>
      </c>
      <c r="R107" s="167"/>
      <c r="S107" s="138"/>
      <c r="T107" s="56"/>
      <c r="U107" s="56"/>
      <c r="V107" s="56"/>
      <c r="W107" s="56"/>
      <c r="X107" s="56"/>
      <c r="Y107" s="56"/>
      <c r="Z107" s="55"/>
      <c r="AA107" s="51"/>
      <c r="AB107" s="56"/>
      <c r="AC107" s="56"/>
      <c r="AD107" s="56"/>
      <c r="AE107" s="56"/>
      <c r="AF107" s="56"/>
      <c r="AG107" s="56"/>
      <c r="AH107" s="56"/>
      <c r="AI107" s="56"/>
      <c r="AJ107" s="56"/>
      <c r="AK107" s="56">
        <f>AA107</f>
        <v>0</v>
      </c>
      <c r="AL107" s="56"/>
      <c r="AM107" s="51">
        <f t="shared" ref="AM107:AM115" si="11">ROUND(AK107,-1)</f>
        <v>0</v>
      </c>
    </row>
    <row r="108" spans="1:39" s="63" customFormat="1" ht="29.25" customHeight="1" x14ac:dyDescent="0.25">
      <c r="A108" s="259" t="s">
        <v>247</v>
      </c>
      <c r="B108" s="260"/>
      <c r="C108" s="80"/>
      <c r="D108" s="104"/>
      <c r="E108" s="96"/>
      <c r="F108" s="80">
        <f t="shared" ref="F108:F121" si="12">D108*E108</f>
        <v>0</v>
      </c>
      <c r="G108" s="51"/>
      <c r="H108" s="62"/>
      <c r="I108" s="51">
        <f t="shared" ref="I108:I120" si="13">E108*1.1</f>
        <v>0</v>
      </c>
      <c r="J108" s="51">
        <f t="shared" ref="J108:J120" si="14">I108*D108</f>
        <v>0</v>
      </c>
      <c r="K108" s="154"/>
      <c r="L108" s="154"/>
      <c r="M108" s="154"/>
      <c r="N108" s="154"/>
      <c r="O108" s="163"/>
      <c r="P108" s="153">
        <f t="shared" si="9"/>
        <v>0</v>
      </c>
      <c r="Q108" s="167" t="b">
        <f t="shared" si="10"/>
        <v>1</v>
      </c>
      <c r="R108" s="167"/>
      <c r="S108" s="138"/>
      <c r="T108" s="56"/>
      <c r="U108" s="56"/>
      <c r="V108" s="56"/>
      <c r="W108" s="56"/>
      <c r="X108" s="56"/>
      <c r="Y108" s="56"/>
      <c r="Z108" s="56"/>
      <c r="AA108" s="56"/>
      <c r="AB108" s="56"/>
      <c r="AC108" s="56"/>
      <c r="AD108" s="56"/>
      <c r="AE108" s="56"/>
      <c r="AF108" s="56"/>
      <c r="AG108" s="56"/>
      <c r="AH108" s="56"/>
      <c r="AI108" s="56"/>
      <c r="AJ108" s="56"/>
      <c r="AK108" s="56"/>
      <c r="AL108" s="56"/>
      <c r="AM108" s="51">
        <f t="shared" si="11"/>
        <v>0</v>
      </c>
    </row>
    <row r="109" spans="1:39" s="64" customFormat="1" ht="39.75" customHeight="1" x14ac:dyDescent="0.2">
      <c r="A109" s="71" t="s">
        <v>321</v>
      </c>
      <c r="B109" s="81" t="s">
        <v>132</v>
      </c>
      <c r="C109" s="80"/>
      <c r="D109" s="104"/>
      <c r="E109" s="96"/>
      <c r="F109" s="80">
        <f t="shared" si="12"/>
        <v>0</v>
      </c>
      <c r="G109" s="51"/>
      <c r="H109" s="62"/>
      <c r="I109" s="51">
        <f t="shared" si="13"/>
        <v>0</v>
      </c>
      <c r="J109" s="51">
        <f t="shared" si="14"/>
        <v>0</v>
      </c>
      <c r="K109" s="155"/>
      <c r="L109" s="155"/>
      <c r="M109" s="155"/>
      <c r="N109" s="155"/>
      <c r="O109" s="164"/>
      <c r="P109" s="153">
        <f t="shared" si="9"/>
        <v>0</v>
      </c>
      <c r="Q109" s="167" t="b">
        <f t="shared" si="10"/>
        <v>1</v>
      </c>
      <c r="R109" s="167"/>
      <c r="S109" s="138"/>
      <c r="T109" s="56"/>
      <c r="U109" s="56"/>
      <c r="V109" s="56"/>
      <c r="W109" s="56"/>
      <c r="X109" s="56"/>
      <c r="Y109" s="56"/>
      <c r="Z109" s="56"/>
      <c r="AA109" s="56"/>
      <c r="AB109" s="56"/>
      <c r="AC109" s="56"/>
      <c r="AD109" s="56"/>
      <c r="AE109" s="56"/>
      <c r="AF109" s="56"/>
      <c r="AG109" s="56"/>
      <c r="AH109" s="56"/>
      <c r="AI109" s="56"/>
      <c r="AJ109" s="56"/>
      <c r="AK109" s="56"/>
      <c r="AL109" s="56"/>
      <c r="AM109" s="51">
        <f t="shared" si="11"/>
        <v>0</v>
      </c>
    </row>
    <row r="110" spans="1:39" s="64" customFormat="1" ht="49.5" customHeight="1" x14ac:dyDescent="0.2">
      <c r="A110" s="71" t="s">
        <v>322</v>
      </c>
      <c r="B110" s="79" t="s">
        <v>371</v>
      </c>
      <c r="C110" s="80" t="s">
        <v>17</v>
      </c>
      <c r="D110" s="103">
        <v>6000</v>
      </c>
      <c r="E110" s="129">
        <v>27.92</v>
      </c>
      <c r="F110" s="80">
        <f t="shared" si="12"/>
        <v>167520</v>
      </c>
      <c r="G110" s="51"/>
      <c r="H110" s="62"/>
      <c r="I110" s="51">
        <f t="shared" si="13"/>
        <v>30.712000000000003</v>
      </c>
      <c r="J110" s="51">
        <f t="shared" si="14"/>
        <v>184272.00000000003</v>
      </c>
      <c r="K110" s="155"/>
      <c r="L110" s="155"/>
      <c r="M110" s="155"/>
      <c r="N110" s="155">
        <v>35</v>
      </c>
      <c r="O110" s="164">
        <v>35</v>
      </c>
      <c r="P110" s="153">
        <f t="shared" si="9"/>
        <v>210000</v>
      </c>
      <c r="Q110" s="167" t="b">
        <f t="shared" si="10"/>
        <v>0</v>
      </c>
      <c r="R110" s="167"/>
      <c r="S110" s="146">
        <v>35</v>
      </c>
      <c r="T110" s="56"/>
      <c r="U110" s="56"/>
      <c r="V110" s="56"/>
      <c r="W110" s="56"/>
      <c r="X110" s="56"/>
      <c r="Y110" s="56"/>
      <c r="Z110" s="56"/>
      <c r="AA110" s="56"/>
      <c r="AB110" s="56"/>
      <c r="AC110" s="56"/>
      <c r="AD110" s="56"/>
      <c r="AE110" s="56"/>
      <c r="AF110" s="56"/>
      <c r="AG110" s="56"/>
      <c r="AH110" s="56"/>
      <c r="AI110" s="56"/>
      <c r="AJ110" s="56"/>
      <c r="AK110" s="56"/>
      <c r="AL110" s="56"/>
      <c r="AM110" s="51">
        <f t="shared" si="11"/>
        <v>0</v>
      </c>
    </row>
    <row r="111" spans="1:39" s="64" customFormat="1" ht="37.5" customHeight="1" x14ac:dyDescent="0.2">
      <c r="A111" s="257" t="s">
        <v>323</v>
      </c>
      <c r="B111" s="81" t="s">
        <v>248</v>
      </c>
      <c r="C111" s="80"/>
      <c r="D111" s="104"/>
      <c r="E111" s="96"/>
      <c r="F111" s="80">
        <f t="shared" si="12"/>
        <v>0</v>
      </c>
      <c r="G111" s="51"/>
      <c r="H111" s="62"/>
      <c r="I111" s="51">
        <f t="shared" si="13"/>
        <v>0</v>
      </c>
      <c r="J111" s="51">
        <f t="shared" si="14"/>
        <v>0</v>
      </c>
      <c r="K111" s="155"/>
      <c r="L111" s="155"/>
      <c r="M111" s="155"/>
      <c r="N111" s="155"/>
      <c r="O111" s="164"/>
      <c r="P111" s="153">
        <f t="shared" si="9"/>
        <v>0</v>
      </c>
      <c r="Q111" s="167" t="b">
        <f t="shared" si="10"/>
        <v>1</v>
      </c>
      <c r="R111" s="167"/>
      <c r="S111" s="138">
        <v>0</v>
      </c>
      <c r="T111" s="56"/>
      <c r="U111" s="56"/>
      <c r="V111" s="56"/>
      <c r="W111" s="56"/>
      <c r="X111" s="56"/>
      <c r="Y111" s="56"/>
      <c r="Z111" s="56"/>
      <c r="AA111" s="56"/>
      <c r="AB111" s="56"/>
      <c r="AC111" s="56"/>
      <c r="AD111" s="56"/>
      <c r="AE111" s="56"/>
      <c r="AF111" s="56"/>
      <c r="AG111" s="56"/>
      <c r="AH111" s="56"/>
      <c r="AI111" s="56"/>
      <c r="AJ111" s="56"/>
      <c r="AK111" s="56"/>
      <c r="AL111" s="56"/>
      <c r="AM111" s="51">
        <f t="shared" si="11"/>
        <v>0</v>
      </c>
    </row>
    <row r="112" spans="1:39" s="64" customFormat="1" ht="38.25" customHeight="1" x14ac:dyDescent="0.2">
      <c r="A112" s="261"/>
      <c r="B112" s="81" t="s">
        <v>249</v>
      </c>
      <c r="C112" s="80"/>
      <c r="D112" s="104"/>
      <c r="E112" s="96"/>
      <c r="F112" s="80">
        <f t="shared" si="12"/>
        <v>0</v>
      </c>
      <c r="G112" s="51"/>
      <c r="H112" s="62"/>
      <c r="I112" s="51">
        <f t="shared" si="13"/>
        <v>0</v>
      </c>
      <c r="J112" s="51">
        <f t="shared" si="14"/>
        <v>0</v>
      </c>
      <c r="K112" s="155"/>
      <c r="L112" s="155"/>
      <c r="M112" s="155"/>
      <c r="N112" s="155"/>
      <c r="O112" s="164"/>
      <c r="P112" s="153">
        <f t="shared" si="9"/>
        <v>0</v>
      </c>
      <c r="Q112" s="167" t="b">
        <f t="shared" si="10"/>
        <v>1</v>
      </c>
      <c r="R112" s="167"/>
      <c r="S112" s="138"/>
      <c r="T112" s="56"/>
      <c r="U112" s="56"/>
      <c r="V112" s="56"/>
      <c r="W112" s="56"/>
      <c r="X112" s="56"/>
      <c r="Y112" s="56"/>
      <c r="Z112" s="56"/>
      <c r="AA112" s="56"/>
      <c r="AB112" s="56"/>
      <c r="AC112" s="56"/>
      <c r="AD112" s="56"/>
      <c r="AE112" s="56"/>
      <c r="AF112" s="56"/>
      <c r="AG112" s="56"/>
      <c r="AH112" s="56"/>
      <c r="AI112" s="56"/>
      <c r="AJ112" s="56"/>
      <c r="AK112" s="56"/>
      <c r="AL112" s="56"/>
      <c r="AM112" s="51">
        <f t="shared" si="11"/>
        <v>0</v>
      </c>
    </row>
    <row r="113" spans="1:39" s="64" customFormat="1" ht="81.75" customHeight="1" x14ac:dyDescent="0.2">
      <c r="A113" s="258"/>
      <c r="B113" s="79" t="s">
        <v>370</v>
      </c>
      <c r="C113" s="80"/>
      <c r="D113" s="103"/>
      <c r="E113" s="96"/>
      <c r="F113" s="80">
        <f t="shared" si="12"/>
        <v>0</v>
      </c>
      <c r="G113" s="51"/>
      <c r="H113" s="62"/>
      <c r="I113" s="51">
        <f t="shared" si="13"/>
        <v>0</v>
      </c>
      <c r="J113" s="51">
        <f t="shared" si="14"/>
        <v>0</v>
      </c>
      <c r="K113" s="155"/>
      <c r="L113" s="155"/>
      <c r="M113" s="155"/>
      <c r="N113" s="155"/>
      <c r="O113" s="164"/>
      <c r="P113" s="153">
        <f t="shared" si="9"/>
        <v>0</v>
      </c>
      <c r="Q113" s="167" t="b">
        <f t="shared" si="10"/>
        <v>1</v>
      </c>
      <c r="R113" s="167"/>
      <c r="S113" s="138"/>
      <c r="T113" s="56"/>
      <c r="U113" s="56"/>
      <c r="V113" s="56"/>
      <c r="W113" s="56"/>
      <c r="X113" s="56"/>
      <c r="Y113" s="56"/>
      <c r="Z113" s="56"/>
      <c r="AA113" s="56"/>
      <c r="AB113" s="56"/>
      <c r="AC113" s="56"/>
      <c r="AD113" s="56"/>
      <c r="AE113" s="56"/>
      <c r="AF113" s="56"/>
      <c r="AG113" s="56"/>
      <c r="AH113" s="56"/>
      <c r="AI113" s="56"/>
      <c r="AJ113" s="56"/>
      <c r="AK113" s="56"/>
      <c r="AL113" s="56"/>
      <c r="AM113" s="51">
        <f t="shared" si="11"/>
        <v>0</v>
      </c>
    </row>
    <row r="114" spans="1:39" s="64" customFormat="1" ht="34.5" customHeight="1" x14ac:dyDescent="0.2">
      <c r="A114" s="71" t="s">
        <v>324</v>
      </c>
      <c r="B114" s="79" t="s">
        <v>264</v>
      </c>
      <c r="C114" s="80" t="s">
        <v>17</v>
      </c>
      <c r="D114" s="103">
        <v>11000</v>
      </c>
      <c r="E114" s="129">
        <v>55.84</v>
      </c>
      <c r="F114" s="80">
        <f t="shared" si="12"/>
        <v>614240</v>
      </c>
      <c r="G114" s="51"/>
      <c r="H114" s="62"/>
      <c r="I114" s="51">
        <f t="shared" si="13"/>
        <v>61.424000000000007</v>
      </c>
      <c r="J114" s="51">
        <f t="shared" si="14"/>
        <v>675664.00000000012</v>
      </c>
      <c r="K114" s="155"/>
      <c r="L114" s="155"/>
      <c r="M114" s="155"/>
      <c r="N114" s="155">
        <v>85</v>
      </c>
      <c r="O114" s="164">
        <v>85</v>
      </c>
      <c r="P114" s="153">
        <f t="shared" si="9"/>
        <v>935000</v>
      </c>
      <c r="Q114" s="167" t="b">
        <f t="shared" si="10"/>
        <v>0</v>
      </c>
      <c r="R114" s="167"/>
      <c r="S114" s="146">
        <v>85</v>
      </c>
      <c r="T114" s="56"/>
      <c r="U114" s="56"/>
      <c r="V114" s="56"/>
      <c r="W114" s="56"/>
      <c r="X114" s="56"/>
      <c r="Y114" s="56"/>
      <c r="Z114" s="56"/>
      <c r="AA114" s="56"/>
      <c r="AB114" s="56"/>
      <c r="AC114" s="56"/>
      <c r="AD114" s="56"/>
      <c r="AE114" s="56"/>
      <c r="AF114" s="56"/>
      <c r="AG114" s="56"/>
      <c r="AH114" s="56"/>
      <c r="AI114" s="56"/>
      <c r="AJ114" s="56"/>
      <c r="AK114" s="56"/>
      <c r="AL114" s="56"/>
      <c r="AM114" s="51">
        <f t="shared" si="11"/>
        <v>0</v>
      </c>
    </row>
    <row r="115" spans="1:39" s="64" customFormat="1" ht="34.5" customHeight="1" x14ac:dyDescent="0.2">
      <c r="A115" s="71" t="s">
        <v>325</v>
      </c>
      <c r="B115" s="79" t="s">
        <v>265</v>
      </c>
      <c r="C115" s="80" t="s">
        <v>17</v>
      </c>
      <c r="D115" s="103">
        <v>11000</v>
      </c>
      <c r="E115" s="129">
        <v>62.82</v>
      </c>
      <c r="F115" s="80">
        <f t="shared" si="12"/>
        <v>691020</v>
      </c>
      <c r="G115" s="51"/>
      <c r="H115" s="62"/>
      <c r="I115" s="51">
        <f t="shared" si="13"/>
        <v>69.102000000000004</v>
      </c>
      <c r="J115" s="51">
        <f t="shared" si="14"/>
        <v>760122</v>
      </c>
      <c r="K115" s="155"/>
      <c r="L115" s="155"/>
      <c r="M115" s="155"/>
      <c r="N115" s="155">
        <v>90</v>
      </c>
      <c r="O115" s="164">
        <v>90</v>
      </c>
      <c r="P115" s="153">
        <f t="shared" si="9"/>
        <v>990000</v>
      </c>
      <c r="Q115" s="167" t="b">
        <f t="shared" si="10"/>
        <v>0</v>
      </c>
      <c r="R115" s="167"/>
      <c r="S115" s="146">
        <v>90</v>
      </c>
      <c r="T115" s="56"/>
      <c r="U115" s="56"/>
      <c r="V115" s="56"/>
      <c r="W115" s="56"/>
      <c r="X115" s="56"/>
      <c r="Y115" s="56"/>
      <c r="Z115" s="56"/>
      <c r="AA115" s="56"/>
      <c r="AB115" s="56"/>
      <c r="AC115" s="56"/>
      <c r="AD115" s="56"/>
      <c r="AE115" s="56"/>
      <c r="AF115" s="56"/>
      <c r="AG115" s="56"/>
      <c r="AH115" s="56"/>
      <c r="AI115" s="56"/>
      <c r="AJ115" s="56"/>
      <c r="AK115" s="56"/>
      <c r="AL115" s="56"/>
      <c r="AM115" s="51">
        <f t="shared" si="11"/>
        <v>0</v>
      </c>
    </row>
    <row r="116" spans="1:39" s="64" customFormat="1" ht="33" customHeight="1" x14ac:dyDescent="0.2">
      <c r="A116" s="71" t="s">
        <v>374</v>
      </c>
      <c r="B116" s="81" t="s">
        <v>359</v>
      </c>
      <c r="C116" s="80"/>
      <c r="D116" s="103"/>
      <c r="E116" s="96"/>
      <c r="F116" s="80"/>
      <c r="G116" s="65"/>
      <c r="H116" s="106"/>
      <c r="I116" s="51"/>
      <c r="J116" s="51"/>
      <c r="K116" s="155"/>
      <c r="L116" s="155"/>
      <c r="M116" s="155"/>
      <c r="N116" s="155"/>
      <c r="O116" s="164"/>
      <c r="P116" s="153">
        <f t="shared" si="9"/>
        <v>0</v>
      </c>
      <c r="Q116" s="167" t="b">
        <f t="shared" si="10"/>
        <v>1</v>
      </c>
      <c r="R116" s="167"/>
      <c r="S116" s="138"/>
      <c r="T116" s="56"/>
      <c r="U116" s="56"/>
      <c r="V116" s="56"/>
      <c r="W116" s="56"/>
      <c r="X116" s="56"/>
      <c r="Y116" s="56"/>
      <c r="Z116" s="56"/>
      <c r="AA116" s="56"/>
      <c r="AB116" s="56"/>
      <c r="AC116" s="56"/>
      <c r="AD116" s="56"/>
      <c r="AE116" s="56"/>
      <c r="AF116" s="56"/>
      <c r="AG116" s="56"/>
      <c r="AH116" s="56"/>
      <c r="AI116" s="56"/>
      <c r="AJ116" s="56"/>
      <c r="AK116" s="56"/>
      <c r="AL116" s="56"/>
      <c r="AM116" s="51"/>
    </row>
    <row r="117" spans="1:39" s="64" customFormat="1" ht="101.25" x14ac:dyDescent="0.2">
      <c r="A117" s="71" t="s">
        <v>375</v>
      </c>
      <c r="B117" s="79" t="s">
        <v>362</v>
      </c>
      <c r="C117" s="80" t="s">
        <v>148</v>
      </c>
      <c r="D117" s="103">
        <v>35000</v>
      </c>
      <c r="E117" s="96">
        <v>50</v>
      </c>
      <c r="F117" s="80">
        <f>D117*E117</f>
        <v>1750000</v>
      </c>
      <c r="G117" s="65"/>
      <c r="H117" s="106"/>
      <c r="I117" s="51"/>
      <c r="J117" s="51"/>
      <c r="K117" s="155"/>
      <c r="L117" s="155"/>
      <c r="M117" s="155"/>
      <c r="N117" s="156"/>
      <c r="O117" s="129">
        <v>50</v>
      </c>
      <c r="P117" s="153">
        <f t="shared" si="9"/>
        <v>1750000</v>
      </c>
      <c r="Q117" s="167" t="b">
        <f t="shared" si="10"/>
        <v>1</v>
      </c>
      <c r="R117" s="167"/>
      <c r="S117" s="139"/>
      <c r="T117" s="56"/>
      <c r="U117" s="56"/>
      <c r="V117" s="56"/>
      <c r="W117" s="56"/>
      <c r="X117" s="56"/>
      <c r="Y117" s="56"/>
      <c r="Z117" s="56"/>
      <c r="AA117" s="56"/>
      <c r="AB117" s="56"/>
      <c r="AC117" s="56"/>
      <c r="AD117" s="56"/>
      <c r="AE117" s="56"/>
      <c r="AF117" s="56"/>
      <c r="AG117" s="56"/>
      <c r="AH117" s="56"/>
      <c r="AI117" s="56"/>
      <c r="AJ117" s="56"/>
      <c r="AK117" s="56"/>
      <c r="AL117" s="56"/>
      <c r="AM117" s="51"/>
    </row>
    <row r="118" spans="1:39" s="64" customFormat="1" ht="33" customHeight="1" x14ac:dyDescent="0.2">
      <c r="A118" s="71" t="s">
        <v>376</v>
      </c>
      <c r="B118" s="81" t="s">
        <v>372</v>
      </c>
      <c r="C118" s="80"/>
      <c r="D118" s="103"/>
      <c r="E118" s="96"/>
      <c r="F118" s="80"/>
      <c r="G118" s="65"/>
      <c r="H118" s="106"/>
      <c r="I118" s="51"/>
      <c r="J118" s="51"/>
      <c r="K118" s="155"/>
      <c r="L118" s="155"/>
      <c r="M118" s="155"/>
      <c r="N118" s="156"/>
      <c r="O118" s="129"/>
      <c r="P118" s="153">
        <f t="shared" si="9"/>
        <v>0</v>
      </c>
      <c r="Q118" s="167" t="b">
        <f t="shared" si="10"/>
        <v>1</v>
      </c>
      <c r="R118" s="167"/>
      <c r="S118" s="139"/>
      <c r="T118" s="56"/>
      <c r="U118" s="56"/>
      <c r="V118" s="56"/>
      <c r="W118" s="56"/>
      <c r="X118" s="56"/>
      <c r="Y118" s="56"/>
      <c r="Z118" s="56"/>
      <c r="AA118" s="56"/>
      <c r="AB118" s="56"/>
      <c r="AC118" s="56"/>
      <c r="AD118" s="56"/>
      <c r="AE118" s="56"/>
      <c r="AF118" s="56"/>
      <c r="AG118" s="56"/>
      <c r="AH118" s="56"/>
      <c r="AI118" s="56"/>
      <c r="AJ118" s="56"/>
      <c r="AK118" s="56"/>
      <c r="AL118" s="56"/>
      <c r="AM118" s="51"/>
    </row>
    <row r="119" spans="1:39" s="64" customFormat="1" ht="81" x14ac:dyDescent="0.2">
      <c r="A119" s="71" t="s">
        <v>377</v>
      </c>
      <c r="B119" s="79" t="s">
        <v>421</v>
      </c>
      <c r="C119" s="80" t="s">
        <v>148</v>
      </c>
      <c r="D119" s="103">
        <v>23000</v>
      </c>
      <c r="E119" s="96">
        <v>100</v>
      </c>
      <c r="F119" s="80">
        <f t="shared" si="12"/>
        <v>2300000</v>
      </c>
      <c r="G119" s="65"/>
      <c r="H119" s="106"/>
      <c r="I119" s="51"/>
      <c r="J119" s="51"/>
      <c r="K119" s="155"/>
      <c r="L119" s="155"/>
      <c r="M119" s="155"/>
      <c r="N119" s="156"/>
      <c r="O119" s="129">
        <v>100</v>
      </c>
      <c r="P119" s="153">
        <f t="shared" si="9"/>
        <v>2300000</v>
      </c>
      <c r="Q119" s="167" t="b">
        <f t="shared" si="10"/>
        <v>1</v>
      </c>
      <c r="R119" s="167"/>
      <c r="S119" s="139"/>
      <c r="T119" s="56"/>
      <c r="U119" s="56"/>
      <c r="V119" s="56"/>
      <c r="W119" s="56"/>
      <c r="X119" s="56"/>
      <c r="Y119" s="56"/>
      <c r="Z119" s="56"/>
      <c r="AA119" s="56"/>
      <c r="AB119" s="56"/>
      <c r="AC119" s="56"/>
      <c r="AD119" s="56"/>
      <c r="AE119" s="56"/>
      <c r="AF119" s="56"/>
      <c r="AG119" s="56"/>
      <c r="AH119" s="56"/>
      <c r="AI119" s="56"/>
      <c r="AJ119" s="56"/>
      <c r="AK119" s="56"/>
      <c r="AL119" s="56"/>
      <c r="AM119" s="51"/>
    </row>
    <row r="120" spans="1:39" s="64" customFormat="1" ht="24.75" customHeight="1" x14ac:dyDescent="0.2">
      <c r="A120" s="71"/>
      <c r="B120" s="79" t="s">
        <v>256</v>
      </c>
      <c r="C120" s="82"/>
      <c r="D120" s="103"/>
      <c r="E120" s="97"/>
      <c r="F120" s="80">
        <f t="shared" si="12"/>
        <v>0</v>
      </c>
      <c r="G120" s="65"/>
      <c r="H120" s="103">
        <v>500</v>
      </c>
      <c r="I120" s="51">
        <f t="shared" si="13"/>
        <v>0</v>
      </c>
      <c r="J120" s="51">
        <f t="shared" si="14"/>
        <v>0</v>
      </c>
      <c r="K120" s="155"/>
      <c r="L120" s="155"/>
      <c r="M120" s="155"/>
      <c r="N120" s="155"/>
      <c r="O120" s="164"/>
      <c r="P120" s="153">
        <f t="shared" si="9"/>
        <v>0</v>
      </c>
      <c r="Q120" s="167" t="b">
        <f t="shared" si="10"/>
        <v>1</v>
      </c>
      <c r="R120" s="167"/>
      <c r="S120" s="138"/>
      <c r="T120" s="56"/>
      <c r="U120" s="56"/>
      <c r="V120" s="56"/>
      <c r="W120" s="56"/>
      <c r="X120" s="56"/>
      <c r="Y120" s="56"/>
      <c r="Z120" s="56"/>
      <c r="AA120" s="56"/>
      <c r="AB120" s="56"/>
      <c r="AC120" s="56"/>
      <c r="AD120" s="56"/>
      <c r="AE120" s="56"/>
      <c r="AF120" s="56"/>
      <c r="AG120" s="56"/>
      <c r="AH120" s="56"/>
      <c r="AI120" s="56"/>
      <c r="AJ120" s="56"/>
      <c r="AK120" s="56"/>
      <c r="AL120" s="56"/>
      <c r="AM120" s="51">
        <f>ROUND(AK120,-1)</f>
        <v>0</v>
      </c>
    </row>
    <row r="121" spans="1:39" s="64" customFormat="1" ht="223.5" thickBot="1" x14ac:dyDescent="0.25">
      <c r="A121" s="87"/>
      <c r="B121" s="88" t="s">
        <v>257</v>
      </c>
      <c r="C121" s="82"/>
      <c r="D121" s="107"/>
      <c r="E121" s="97"/>
      <c r="F121" s="80">
        <f t="shared" si="12"/>
        <v>0</v>
      </c>
      <c r="G121" s="65"/>
      <c r="H121" s="65"/>
      <c r="I121" s="56"/>
      <c r="J121" s="56"/>
      <c r="K121" s="155"/>
      <c r="L121" s="155"/>
      <c r="M121" s="155"/>
      <c r="N121" s="155"/>
      <c r="O121" s="164"/>
      <c r="P121" s="153">
        <f t="shared" si="9"/>
        <v>0</v>
      </c>
      <c r="Q121" s="167" t="b">
        <f t="shared" si="10"/>
        <v>1</v>
      </c>
      <c r="R121" s="167"/>
      <c r="S121" s="138"/>
      <c r="T121" s="56"/>
      <c r="U121" s="56"/>
      <c r="V121" s="56"/>
      <c r="W121" s="56"/>
      <c r="X121" s="56"/>
      <c r="Y121" s="56"/>
      <c r="Z121" s="56"/>
      <c r="AA121" s="56"/>
      <c r="AB121" s="56"/>
      <c r="AC121" s="56"/>
      <c r="AD121" s="56"/>
      <c r="AE121" s="56"/>
      <c r="AF121" s="56"/>
      <c r="AG121" s="56"/>
      <c r="AH121" s="56"/>
      <c r="AI121" s="56"/>
      <c r="AJ121" s="56"/>
      <c r="AK121" s="56"/>
      <c r="AL121" s="56"/>
      <c r="AM121" s="51">
        <f>ROUND(AK121,-1)</f>
        <v>0</v>
      </c>
    </row>
    <row r="122" spans="1:39" s="64" customFormat="1" ht="26.1" customHeight="1" thickBot="1" x14ac:dyDescent="0.25">
      <c r="A122" s="255" t="s">
        <v>258</v>
      </c>
      <c r="B122" s="256"/>
      <c r="C122" s="78"/>
      <c r="D122" s="102"/>
      <c r="E122" s="78"/>
      <c r="F122" s="113">
        <f>SUM(F5:F121)</f>
        <v>73932264.700000003</v>
      </c>
      <c r="G122" s="65"/>
      <c r="H122" s="65"/>
      <c r="I122" s="65"/>
      <c r="J122" s="149">
        <f>SUM(J5:J121)</f>
        <v>74160542.170000002</v>
      </c>
      <c r="K122" s="157"/>
      <c r="L122" s="157"/>
      <c r="M122" s="157"/>
      <c r="N122" s="157"/>
      <c r="O122" s="157"/>
      <c r="P122" s="113">
        <f>SUM(P5:P121)</f>
        <v>88441777.5</v>
      </c>
      <c r="Q122" s="168"/>
      <c r="R122" s="168"/>
      <c r="S122" s="65"/>
      <c r="T122" s="65"/>
      <c r="U122" s="65"/>
      <c r="V122" s="65"/>
      <c r="W122" s="65"/>
      <c r="X122" s="65"/>
      <c r="Y122" s="65"/>
      <c r="Z122" s="65"/>
      <c r="AA122" s="65"/>
      <c r="AB122" s="65"/>
      <c r="AC122" s="65"/>
      <c r="AD122" s="65"/>
      <c r="AE122" s="65"/>
    </row>
    <row r="123" spans="1:39" s="64" customFormat="1" ht="24" customHeight="1" thickBot="1" x14ac:dyDescent="0.35">
      <c r="A123" s="255" t="s">
        <v>259</v>
      </c>
      <c r="B123" s="256"/>
      <c r="C123" s="78"/>
      <c r="D123" s="102"/>
      <c r="E123" s="78"/>
      <c r="F123" s="113">
        <f>F122*18%</f>
        <v>13307807.646</v>
      </c>
      <c r="J123" s="149">
        <f>J122*18%</f>
        <v>13348897.590600001</v>
      </c>
      <c r="K123" s="158"/>
      <c r="L123" s="159"/>
      <c r="M123" s="159"/>
      <c r="N123" s="159"/>
      <c r="O123" s="159"/>
      <c r="P123" s="113">
        <f>P122*18%</f>
        <v>15919519.949999999</v>
      </c>
      <c r="Q123" s="168"/>
      <c r="R123" s="168"/>
    </row>
    <row r="124" spans="1:39" s="66" customFormat="1" ht="24" customHeight="1" thickBot="1" x14ac:dyDescent="0.35">
      <c r="A124" s="255" t="s">
        <v>260</v>
      </c>
      <c r="B124" s="256"/>
      <c r="C124" s="78"/>
      <c r="D124" s="102"/>
      <c r="E124" s="78"/>
      <c r="F124" s="113">
        <f>F122+F123</f>
        <v>87240072.346000001</v>
      </c>
      <c r="J124" s="149">
        <f>J122+J123</f>
        <v>87509439.760600001</v>
      </c>
      <c r="K124" s="160"/>
      <c r="L124" s="161"/>
      <c r="M124" s="161"/>
      <c r="N124" s="161"/>
      <c r="O124" s="161"/>
      <c r="P124" s="113">
        <f>P122+P123</f>
        <v>104361297.45</v>
      </c>
      <c r="Q124" s="168"/>
      <c r="R124" s="168"/>
    </row>
    <row r="125" spans="1:39" ht="32.450000000000003" customHeight="1" x14ac:dyDescent="0.25">
      <c r="A125" s="89"/>
      <c r="B125" s="90"/>
      <c r="C125" s="91"/>
      <c r="D125" s="109"/>
      <c r="E125" s="91"/>
      <c r="F125" s="91"/>
    </row>
    <row r="126" spans="1:39" ht="33.6" customHeight="1" thickBot="1" x14ac:dyDescent="0.3">
      <c r="A126" s="92"/>
      <c r="B126" s="93"/>
      <c r="C126" s="91"/>
      <c r="D126" s="109"/>
      <c r="E126" s="91"/>
      <c r="F126" s="91"/>
    </row>
    <row r="130" spans="2:6" ht="37.5" x14ac:dyDescent="0.25">
      <c r="B130" s="67"/>
      <c r="C130" s="67"/>
      <c r="D130" s="127" t="s">
        <v>346</v>
      </c>
      <c r="E130" s="67"/>
      <c r="F130" s="128">
        <v>12000000</v>
      </c>
    </row>
    <row r="131" spans="2:6" x14ac:dyDescent="0.25">
      <c r="B131" s="67"/>
      <c r="C131" s="67"/>
      <c r="D131" s="110"/>
      <c r="E131" s="67"/>
      <c r="F131" s="67"/>
    </row>
    <row r="132" spans="2:6" x14ac:dyDescent="0.25">
      <c r="B132" s="68"/>
      <c r="C132" s="68"/>
      <c r="D132" s="111"/>
      <c r="E132" s="68"/>
      <c r="F132" s="68"/>
    </row>
  </sheetData>
  <autoFilter ref="D3:Q121" xr:uid="{00000000-0009-0000-0000-000002000000}"/>
  <mergeCells count="31">
    <mergeCell ref="A124:B124"/>
    <mergeCell ref="T99:T101"/>
    <mergeCell ref="A104:B104"/>
    <mergeCell ref="A108:B108"/>
    <mergeCell ref="A111:A113"/>
    <mergeCell ref="A122:B122"/>
    <mergeCell ref="A123:B123"/>
    <mergeCell ref="A93:A94"/>
    <mergeCell ref="A53:A57"/>
    <mergeCell ref="G59:G61"/>
    <mergeCell ref="A63:A64"/>
    <mergeCell ref="T64:T66"/>
    <mergeCell ref="A65:A66"/>
    <mergeCell ref="A70:A71"/>
    <mergeCell ref="T76:T78"/>
    <mergeCell ref="A78:A79"/>
    <mergeCell ref="T80:T82"/>
    <mergeCell ref="A84:B84"/>
    <mergeCell ref="A88:A89"/>
    <mergeCell ref="W25:W29"/>
    <mergeCell ref="A52:B52"/>
    <mergeCell ref="A1:F1"/>
    <mergeCell ref="C2:F2"/>
    <mergeCell ref="K2:N2"/>
    <mergeCell ref="A4:B4"/>
    <mergeCell ref="A5:A23"/>
    <mergeCell ref="A30:A31"/>
    <mergeCell ref="A40:A41"/>
    <mergeCell ref="A43:A44"/>
    <mergeCell ref="A47:A48"/>
    <mergeCell ref="T49:T5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17"/>
  <sheetViews>
    <sheetView workbookViewId="0">
      <selection activeCell="D19" sqref="D19"/>
    </sheetView>
  </sheetViews>
  <sheetFormatPr defaultRowHeight="15" x14ac:dyDescent="0.25"/>
  <cols>
    <col min="2" max="2" width="33.28515625" bestFit="1" customWidth="1"/>
    <col min="3" max="3" width="6" bestFit="1" customWidth="1"/>
    <col min="4" max="4" width="14" bestFit="1" customWidth="1"/>
    <col min="5" max="5" width="12.140625" bestFit="1" customWidth="1"/>
    <col min="9" max="9" width="10.28515625" bestFit="1" customWidth="1"/>
    <col min="13" max="13" width="11.28515625" bestFit="1" customWidth="1"/>
    <col min="14" max="14" width="10.28515625" bestFit="1" customWidth="1"/>
  </cols>
  <sheetData>
    <row r="1" spans="2:14" ht="20.25" x14ac:dyDescent="0.3">
      <c r="B1" s="274" t="s">
        <v>345</v>
      </c>
      <c r="C1" s="274"/>
      <c r="D1" s="274"/>
      <c r="E1" s="274"/>
    </row>
    <row r="2" spans="2:14" ht="20.25" x14ac:dyDescent="0.3">
      <c r="B2" s="115"/>
      <c r="C2" s="115" t="s">
        <v>171</v>
      </c>
      <c r="D2" s="115" t="s">
        <v>176</v>
      </c>
      <c r="E2" s="115" t="s">
        <v>344</v>
      </c>
    </row>
    <row r="3" spans="2:14" ht="20.25" x14ac:dyDescent="0.25">
      <c r="B3" s="116" t="s">
        <v>336</v>
      </c>
      <c r="C3" s="116">
        <v>2</v>
      </c>
      <c r="D3" s="116">
        <v>345.1</v>
      </c>
      <c r="E3" s="116">
        <f>C3*D3</f>
        <v>690.2</v>
      </c>
    </row>
    <row r="4" spans="2:14" ht="20.25" x14ac:dyDescent="0.25">
      <c r="B4" s="116" t="s">
        <v>337</v>
      </c>
      <c r="C4" s="116">
        <v>1</v>
      </c>
      <c r="D4" s="116">
        <v>301.07</v>
      </c>
      <c r="E4" s="116">
        <f>C4*D4</f>
        <v>301.07</v>
      </c>
    </row>
    <row r="5" spans="2:14" ht="20.25" x14ac:dyDescent="0.25">
      <c r="B5" s="116" t="s">
        <v>353</v>
      </c>
      <c r="C5" s="116">
        <v>1</v>
      </c>
      <c r="D5" s="116">
        <v>150</v>
      </c>
      <c r="E5" s="116">
        <f>C5*D5</f>
        <v>150</v>
      </c>
    </row>
    <row r="6" spans="2:14" ht="20.25" x14ac:dyDescent="0.25">
      <c r="B6" s="116" t="s">
        <v>338</v>
      </c>
      <c r="C6" s="116">
        <v>2</v>
      </c>
      <c r="D6" s="116">
        <v>518.84</v>
      </c>
      <c r="E6" s="116">
        <f>C6*D6</f>
        <v>1037.68</v>
      </c>
      <c r="M6" s="120"/>
    </row>
    <row r="7" spans="2:14" ht="20.25" x14ac:dyDescent="0.25">
      <c r="B7" s="116" t="s">
        <v>340</v>
      </c>
      <c r="C7" s="116">
        <v>1</v>
      </c>
      <c r="D7" s="116"/>
      <c r="E7" s="116">
        <f>C7*D7</f>
        <v>0</v>
      </c>
      <c r="M7" s="120"/>
    </row>
    <row r="8" spans="2:14" ht="20.25" x14ac:dyDescent="0.25">
      <c r="B8" s="116" t="s">
        <v>339</v>
      </c>
      <c r="C8" s="116">
        <v>1</v>
      </c>
      <c r="D8" s="116">
        <v>95</v>
      </c>
      <c r="E8" s="116">
        <v>95</v>
      </c>
    </row>
    <row r="9" spans="2:14" ht="20.25" x14ac:dyDescent="0.25">
      <c r="B9" s="117" t="s">
        <v>342</v>
      </c>
      <c r="C9" s="117"/>
      <c r="D9" s="117"/>
      <c r="E9" s="117">
        <f>SUM(E3:E8)</f>
        <v>2273.9499999999998</v>
      </c>
    </row>
    <row r="10" spans="2:14" ht="20.25" x14ac:dyDescent="0.25">
      <c r="B10" s="118" t="s">
        <v>341</v>
      </c>
      <c r="C10" s="118">
        <v>1</v>
      </c>
      <c r="D10" s="118">
        <v>500</v>
      </c>
      <c r="E10" s="118">
        <f>C10*D10</f>
        <v>500</v>
      </c>
      <c r="I10" s="120"/>
    </row>
    <row r="11" spans="2:14" ht="20.25" x14ac:dyDescent="0.3">
      <c r="B11" s="117" t="s">
        <v>343</v>
      </c>
      <c r="C11" s="119"/>
      <c r="D11" s="119"/>
      <c r="E11" s="117">
        <f>E9+E10</f>
        <v>2773.95</v>
      </c>
      <c r="I11" s="120"/>
    </row>
    <row r="12" spans="2:14" x14ac:dyDescent="0.25">
      <c r="M12" s="122"/>
    </row>
    <row r="13" spans="2:14" x14ac:dyDescent="0.25">
      <c r="D13">
        <v>1263.3800000000001</v>
      </c>
      <c r="E13">
        <f>D13*1.15</f>
        <v>1452.8869999999999</v>
      </c>
    </row>
    <row r="14" spans="2:14" x14ac:dyDescent="0.25">
      <c r="M14" s="120"/>
      <c r="N14" s="120"/>
    </row>
    <row r="15" spans="2:14" x14ac:dyDescent="0.25">
      <c r="D15">
        <f>E11-D13</f>
        <v>1510.5699999999997</v>
      </c>
    </row>
    <row r="16" spans="2:14" x14ac:dyDescent="0.25">
      <c r="M16" s="120"/>
      <c r="N16" s="120"/>
    </row>
    <row r="17" spans="14:14" x14ac:dyDescent="0.25">
      <c r="N17" s="120"/>
    </row>
  </sheetData>
  <mergeCells count="1">
    <mergeCell ref="B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841B1-1BEF-456D-9CF1-77819265E169}">
  <sheetPr>
    <pageSetUpPr fitToPage="1"/>
  </sheetPr>
  <dimension ref="A2:H38"/>
  <sheetViews>
    <sheetView tabSelected="1" view="pageBreakPreview" topLeftCell="A34" zoomScale="78" zoomScaleNormal="79" zoomScaleSheetLayoutView="78" workbookViewId="0">
      <selection activeCell="E49" sqref="E49"/>
    </sheetView>
  </sheetViews>
  <sheetFormatPr defaultRowHeight="15" x14ac:dyDescent="0.25"/>
  <cols>
    <col min="1" max="1" width="9.140625" bestFit="1" customWidth="1"/>
    <col min="2" max="2" width="90.28515625" customWidth="1"/>
    <col min="3" max="3" width="48.28515625" customWidth="1"/>
    <col min="4" max="4" width="6.140625" bestFit="1" customWidth="1"/>
    <col min="5" max="5" width="8.5703125" customWidth="1"/>
    <col min="6" max="7" width="9.140625" bestFit="1" customWidth="1"/>
    <col min="8" max="8" width="23.42578125" bestFit="1" customWidth="1"/>
  </cols>
  <sheetData>
    <row r="2" spans="1:8" ht="21" x14ac:dyDescent="0.35">
      <c r="A2" s="188" t="s">
        <v>449</v>
      </c>
      <c r="B2" s="188"/>
      <c r="C2" s="188"/>
      <c r="D2" s="188"/>
      <c r="E2" s="188"/>
      <c r="F2" s="188"/>
      <c r="G2" s="188"/>
      <c r="H2" s="188"/>
    </row>
    <row r="3" spans="1:8" x14ac:dyDescent="0.25">
      <c r="A3" s="189" t="s">
        <v>450</v>
      </c>
      <c r="B3" s="191" t="s">
        <v>451</v>
      </c>
      <c r="C3" s="191"/>
    </row>
    <row r="4" spans="1:8" x14ac:dyDescent="0.25">
      <c r="A4" s="189"/>
      <c r="B4" s="191"/>
      <c r="C4" s="191"/>
      <c r="D4" t="s">
        <v>452</v>
      </c>
    </row>
    <row r="5" spans="1:8" x14ac:dyDescent="0.25">
      <c r="A5" s="190"/>
      <c r="B5" s="192"/>
      <c r="C5" s="192"/>
    </row>
    <row r="6" spans="1:8" x14ac:dyDescent="0.25">
      <c r="A6" s="193" t="s">
        <v>175</v>
      </c>
      <c r="B6" s="194" t="s">
        <v>433</v>
      </c>
      <c r="C6" s="195"/>
      <c r="D6" s="198"/>
      <c r="E6" s="198"/>
      <c r="F6" s="199"/>
      <c r="G6" s="200"/>
      <c r="H6" s="200"/>
    </row>
    <row r="7" spans="1:8" ht="33" x14ac:dyDescent="0.25">
      <c r="A7" s="193"/>
      <c r="B7" s="196"/>
      <c r="C7" s="197"/>
      <c r="D7" s="173" t="s">
        <v>7</v>
      </c>
      <c r="E7" s="173" t="s">
        <v>444</v>
      </c>
      <c r="F7" s="173" t="s">
        <v>436</v>
      </c>
      <c r="G7" s="173" t="s">
        <v>171</v>
      </c>
      <c r="H7" s="173" t="s">
        <v>434</v>
      </c>
    </row>
    <row r="8" spans="1:8" x14ac:dyDescent="0.25">
      <c r="A8" s="201" t="s">
        <v>210</v>
      </c>
      <c r="B8" s="202"/>
      <c r="C8" s="179"/>
      <c r="D8" s="174"/>
      <c r="E8" s="174"/>
      <c r="F8" s="172"/>
      <c r="G8" s="172"/>
      <c r="H8" s="172"/>
    </row>
    <row r="9" spans="1:8" x14ac:dyDescent="0.25">
      <c r="A9" s="180" t="s">
        <v>131</v>
      </c>
      <c r="B9" s="201" t="s">
        <v>211</v>
      </c>
      <c r="C9" s="203"/>
      <c r="D9" s="175"/>
      <c r="E9" s="175"/>
      <c r="F9" s="172"/>
      <c r="G9" s="172"/>
      <c r="H9" s="172"/>
    </row>
    <row r="10" spans="1:8" x14ac:dyDescent="0.25">
      <c r="A10" s="181" t="s">
        <v>285</v>
      </c>
      <c r="B10" s="201" t="s">
        <v>442</v>
      </c>
      <c r="C10" s="203"/>
      <c r="D10" s="175"/>
      <c r="E10" s="175"/>
      <c r="F10" s="172"/>
      <c r="G10" s="172"/>
      <c r="H10" s="172"/>
    </row>
    <row r="11" spans="1:8" x14ac:dyDescent="0.25">
      <c r="A11" s="204"/>
      <c r="B11" s="206" t="s">
        <v>443</v>
      </c>
      <c r="C11" s="176" t="s">
        <v>439</v>
      </c>
      <c r="D11" s="175" t="s">
        <v>17</v>
      </c>
      <c r="E11" s="185">
        <v>0.9</v>
      </c>
      <c r="F11" s="172"/>
      <c r="G11" s="172">
        <f>598+3358</f>
        <v>3956</v>
      </c>
      <c r="H11" s="172">
        <f>E11*F11*G11</f>
        <v>0</v>
      </c>
    </row>
    <row r="12" spans="1:8" x14ac:dyDescent="0.25">
      <c r="A12" s="205"/>
      <c r="B12" s="207"/>
      <c r="C12" s="176" t="s">
        <v>438</v>
      </c>
      <c r="D12" s="175" t="s">
        <v>17</v>
      </c>
      <c r="E12" s="185">
        <v>0.1</v>
      </c>
      <c r="F12" s="172"/>
      <c r="G12" s="172">
        <f>598+3358</f>
        <v>3956</v>
      </c>
      <c r="H12" s="172">
        <f>E12*F12*G12</f>
        <v>0</v>
      </c>
    </row>
    <row r="13" spans="1:8" x14ac:dyDescent="0.25">
      <c r="A13" s="181" t="s">
        <v>294</v>
      </c>
      <c r="B13" s="201" t="s">
        <v>348</v>
      </c>
      <c r="C13" s="203"/>
      <c r="D13" s="174"/>
      <c r="E13" s="174"/>
      <c r="F13" s="172"/>
      <c r="G13" s="172"/>
      <c r="H13" s="172"/>
    </row>
    <row r="14" spans="1:8" x14ac:dyDescent="0.25">
      <c r="A14" s="177" t="s">
        <v>296</v>
      </c>
      <c r="B14" s="208" t="s">
        <v>349</v>
      </c>
      <c r="C14" s="209"/>
      <c r="D14" s="175"/>
      <c r="E14" s="175"/>
      <c r="F14" s="172"/>
      <c r="G14" s="172"/>
      <c r="H14" s="172"/>
    </row>
    <row r="15" spans="1:8" ht="30" x14ac:dyDescent="0.25">
      <c r="A15" s="182"/>
      <c r="B15" s="206" t="s">
        <v>431</v>
      </c>
      <c r="C15" s="176" t="s">
        <v>440</v>
      </c>
      <c r="D15" s="175" t="s">
        <v>47</v>
      </c>
      <c r="E15" s="185">
        <v>0.8</v>
      </c>
      <c r="F15" s="172"/>
      <c r="G15" s="172">
        <f>598+3358</f>
        <v>3956</v>
      </c>
      <c r="H15" s="172">
        <f>E15*F15*G15</f>
        <v>0</v>
      </c>
    </row>
    <row r="16" spans="1:8" x14ac:dyDescent="0.25">
      <c r="A16" s="182"/>
      <c r="B16" s="210"/>
      <c r="C16" s="176" t="s">
        <v>441</v>
      </c>
      <c r="D16" s="175" t="s">
        <v>47</v>
      </c>
      <c r="E16" s="185">
        <v>0.1</v>
      </c>
      <c r="F16" s="172"/>
      <c r="G16" s="172">
        <f>598+3358</f>
        <v>3956</v>
      </c>
      <c r="H16" s="172">
        <f>E16*F16*G16</f>
        <v>0</v>
      </c>
    </row>
    <row r="17" spans="1:8" ht="102" customHeight="1" x14ac:dyDescent="0.25">
      <c r="A17" s="178"/>
      <c r="B17" s="207"/>
      <c r="C17" s="176" t="s">
        <v>438</v>
      </c>
      <c r="D17" s="175" t="s">
        <v>47</v>
      </c>
      <c r="E17" s="185">
        <v>0.1</v>
      </c>
      <c r="F17" s="172"/>
      <c r="G17" s="172">
        <f>598+3358</f>
        <v>3956</v>
      </c>
      <c r="H17" s="172">
        <f>E17*F17*G17</f>
        <v>0</v>
      </c>
    </row>
    <row r="18" spans="1:8" x14ac:dyDescent="0.25">
      <c r="A18" s="181" t="s">
        <v>301</v>
      </c>
      <c r="B18" s="201" t="s">
        <v>277</v>
      </c>
      <c r="C18" s="203"/>
      <c r="D18" s="175"/>
      <c r="E18" s="175"/>
      <c r="F18" s="172"/>
      <c r="G18" s="172"/>
      <c r="H18" s="172"/>
    </row>
    <row r="19" spans="1:8" x14ac:dyDescent="0.25">
      <c r="A19" s="211" t="s">
        <v>302</v>
      </c>
      <c r="B19" s="206" t="s">
        <v>227</v>
      </c>
      <c r="C19" s="176" t="s">
        <v>439</v>
      </c>
      <c r="D19" s="175" t="s">
        <v>17</v>
      </c>
      <c r="E19" s="185">
        <v>0.9</v>
      </c>
      <c r="F19" s="172"/>
      <c r="G19" s="172">
        <f>598+3358</f>
        <v>3956</v>
      </c>
      <c r="H19" s="172">
        <f>E19*F19*G19</f>
        <v>0</v>
      </c>
    </row>
    <row r="20" spans="1:8" x14ac:dyDescent="0.25">
      <c r="A20" s="212"/>
      <c r="B20" s="207"/>
      <c r="C20" s="176" t="s">
        <v>438</v>
      </c>
      <c r="D20" s="175" t="s">
        <v>17</v>
      </c>
      <c r="E20" s="185">
        <v>0.1</v>
      </c>
      <c r="F20" s="172"/>
      <c r="G20" s="172">
        <f>598+3358</f>
        <v>3956</v>
      </c>
      <c r="H20" s="172">
        <f>E20*F20*G20</f>
        <v>0</v>
      </c>
    </row>
    <row r="21" spans="1:8" x14ac:dyDescent="0.25">
      <c r="A21" s="171" t="s">
        <v>228</v>
      </c>
      <c r="B21" s="213" t="s">
        <v>435</v>
      </c>
      <c r="C21" s="214"/>
      <c r="D21" s="175"/>
      <c r="E21" s="175"/>
      <c r="F21" s="172"/>
      <c r="G21" s="172"/>
      <c r="H21" s="172"/>
    </row>
    <row r="22" spans="1:8" x14ac:dyDescent="0.25">
      <c r="A22" s="177" t="s">
        <v>303</v>
      </c>
      <c r="B22" s="201" t="s">
        <v>428</v>
      </c>
      <c r="C22" s="203"/>
      <c r="D22" s="175"/>
      <c r="E22" s="175"/>
      <c r="F22" s="172"/>
      <c r="G22" s="172"/>
      <c r="H22" s="172"/>
    </row>
    <row r="23" spans="1:8" ht="143.25" customHeight="1" x14ac:dyDescent="0.25">
      <c r="A23" s="178"/>
      <c r="B23" s="213" t="s">
        <v>432</v>
      </c>
      <c r="C23" s="214"/>
      <c r="D23" s="175"/>
      <c r="E23" s="175"/>
      <c r="F23" s="172"/>
      <c r="G23" s="172"/>
      <c r="H23" s="172"/>
    </row>
    <row r="24" spans="1:8" x14ac:dyDescent="0.25">
      <c r="A24" s="211" t="s">
        <v>304</v>
      </c>
      <c r="B24" s="206" t="s">
        <v>352</v>
      </c>
      <c r="C24" s="176" t="s">
        <v>439</v>
      </c>
      <c r="D24" s="175" t="s">
        <v>47</v>
      </c>
      <c r="E24" s="185">
        <v>0.9</v>
      </c>
      <c r="F24" s="172"/>
      <c r="G24" s="172">
        <f>1591+598+3358</f>
        <v>5547</v>
      </c>
      <c r="H24" s="172">
        <f>E24*F24*G24</f>
        <v>0</v>
      </c>
    </row>
    <row r="25" spans="1:8" x14ac:dyDescent="0.25">
      <c r="A25" s="212"/>
      <c r="B25" s="207"/>
      <c r="C25" s="176" t="s">
        <v>438</v>
      </c>
      <c r="D25" s="175" t="s">
        <v>47</v>
      </c>
      <c r="E25" s="185">
        <v>0.1</v>
      </c>
      <c r="F25" s="172"/>
      <c r="G25" s="172">
        <f>1591+598+3358</f>
        <v>5547</v>
      </c>
      <c r="H25" s="172">
        <f>E25*F25*G25</f>
        <v>0</v>
      </c>
    </row>
    <row r="26" spans="1:8" x14ac:dyDescent="0.25">
      <c r="A26" s="171"/>
      <c r="B26" s="171"/>
      <c r="C26" s="176"/>
      <c r="D26" s="175"/>
      <c r="E26" s="175"/>
      <c r="F26" s="172"/>
      <c r="G26" s="172"/>
      <c r="H26" s="172"/>
    </row>
    <row r="27" spans="1:8" x14ac:dyDescent="0.25">
      <c r="A27" s="201" t="s">
        <v>243</v>
      </c>
      <c r="B27" s="202"/>
      <c r="C27" s="179"/>
      <c r="D27" s="175"/>
      <c r="E27" s="175"/>
      <c r="F27" s="172"/>
      <c r="G27" s="172"/>
      <c r="H27" s="172"/>
    </row>
    <row r="28" spans="1:8" x14ac:dyDescent="0.25">
      <c r="A28" s="171" t="s">
        <v>284</v>
      </c>
      <c r="B28" s="213" t="s">
        <v>437</v>
      </c>
      <c r="C28" s="214"/>
      <c r="D28" s="175"/>
      <c r="E28" s="175"/>
      <c r="F28" s="172"/>
      <c r="G28" s="172"/>
      <c r="H28" s="172"/>
    </row>
    <row r="29" spans="1:8" x14ac:dyDescent="0.25">
      <c r="A29" s="211" t="s">
        <v>286</v>
      </c>
      <c r="B29" s="206" t="s">
        <v>245</v>
      </c>
      <c r="C29" s="176" t="s">
        <v>439</v>
      </c>
      <c r="D29" s="175" t="s">
        <v>47</v>
      </c>
      <c r="E29" s="185">
        <v>0.9</v>
      </c>
      <c r="F29" s="172"/>
      <c r="G29" s="172">
        <v>3358</v>
      </c>
      <c r="H29" s="172">
        <f>E29*F29*G29</f>
        <v>0</v>
      </c>
    </row>
    <row r="30" spans="1:8" x14ac:dyDescent="0.25">
      <c r="A30" s="212"/>
      <c r="B30" s="207"/>
      <c r="C30" s="176" t="s">
        <v>438</v>
      </c>
      <c r="D30" s="175" t="s">
        <v>47</v>
      </c>
      <c r="E30" s="185">
        <v>0.1</v>
      </c>
      <c r="F30" s="172"/>
      <c r="G30" s="172">
        <v>3358</v>
      </c>
      <c r="H30" s="172">
        <f>E30*F30*G30</f>
        <v>0</v>
      </c>
    </row>
    <row r="31" spans="1:8" ht="15.75" x14ac:dyDescent="0.25">
      <c r="A31" s="216" t="s">
        <v>258</v>
      </c>
      <c r="B31" s="217"/>
      <c r="C31" s="218"/>
      <c r="D31" s="174"/>
      <c r="E31" s="174"/>
      <c r="F31" s="171"/>
      <c r="G31" s="174"/>
      <c r="H31" s="170">
        <f>SUM(H11:H30)</f>
        <v>0</v>
      </c>
    </row>
    <row r="32" spans="1:8" x14ac:dyDescent="0.25">
      <c r="A32" s="216" t="s">
        <v>259</v>
      </c>
      <c r="B32" s="217"/>
      <c r="C32" s="218"/>
      <c r="D32" s="174"/>
      <c r="E32" s="174"/>
      <c r="F32" s="171"/>
      <c r="G32" s="183"/>
      <c r="H32" s="183">
        <f t="shared" ref="H32" si="0">H31*18%</f>
        <v>0</v>
      </c>
    </row>
    <row r="33" spans="1:8" ht="15.75" x14ac:dyDescent="0.25">
      <c r="A33" s="216" t="s">
        <v>260</v>
      </c>
      <c r="B33" s="217"/>
      <c r="C33" s="218"/>
      <c r="D33" s="174"/>
      <c r="E33" s="174"/>
      <c r="F33" s="171"/>
      <c r="G33" s="184"/>
      <c r="H33" s="184">
        <f t="shared" ref="H33" si="1">SUM(H31:H32)</f>
        <v>0</v>
      </c>
    </row>
    <row r="34" spans="1:8" x14ac:dyDescent="0.25">
      <c r="A34" s="215" t="s">
        <v>445</v>
      </c>
      <c r="B34" s="215"/>
      <c r="C34" s="215"/>
      <c r="D34" s="215"/>
      <c r="E34" s="215"/>
      <c r="F34" s="215"/>
      <c r="G34" s="215"/>
      <c r="H34" s="215"/>
    </row>
    <row r="35" spans="1:8" x14ac:dyDescent="0.25">
      <c r="A35" s="187" t="s">
        <v>453</v>
      </c>
      <c r="B35" s="186"/>
      <c r="C35" s="186"/>
      <c r="D35" s="186"/>
      <c r="E35" s="186"/>
      <c r="F35" s="186"/>
      <c r="G35" s="186"/>
      <c r="H35" s="186"/>
    </row>
    <row r="36" spans="1:8" x14ac:dyDescent="0.25">
      <c r="A36" t="s">
        <v>446</v>
      </c>
    </row>
    <row r="37" spans="1:8" x14ac:dyDescent="0.25">
      <c r="A37" t="s">
        <v>447</v>
      </c>
    </row>
    <row r="38" spans="1:8" x14ac:dyDescent="0.25">
      <c r="A38" t="s">
        <v>448</v>
      </c>
    </row>
  </sheetData>
  <mergeCells count="31">
    <mergeCell ref="A34:H34"/>
    <mergeCell ref="B28:C28"/>
    <mergeCell ref="A29:A30"/>
    <mergeCell ref="B29:B30"/>
    <mergeCell ref="A31:C31"/>
    <mergeCell ref="A32:C32"/>
    <mergeCell ref="A33:C33"/>
    <mergeCell ref="A27:B27"/>
    <mergeCell ref="B13:C13"/>
    <mergeCell ref="B14:C14"/>
    <mergeCell ref="B15:B17"/>
    <mergeCell ref="B18:C18"/>
    <mergeCell ref="A19:A20"/>
    <mergeCell ref="B19:B20"/>
    <mergeCell ref="B21:C21"/>
    <mergeCell ref="B22:C22"/>
    <mergeCell ref="B23:C23"/>
    <mergeCell ref="A24:A25"/>
    <mergeCell ref="B24:B25"/>
    <mergeCell ref="A8:B8"/>
    <mergeCell ref="B9:C9"/>
    <mergeCell ref="B10:C10"/>
    <mergeCell ref="A11:A12"/>
    <mergeCell ref="B11:B12"/>
    <mergeCell ref="A2:H2"/>
    <mergeCell ref="A3:A5"/>
    <mergeCell ref="B3:C5"/>
    <mergeCell ref="A6:A7"/>
    <mergeCell ref="B6:C7"/>
    <mergeCell ref="D6:F6"/>
    <mergeCell ref="G6:H6"/>
  </mergeCells>
  <pageMargins left="0.70866141732283472" right="0.70866141732283472" top="0.74803149606299213" bottom="0.74803149606299213" header="0.31496062992125984" footer="0.31496062992125984"/>
  <pageSetup scale="5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RA 01</vt:lpstr>
      <vt:lpstr>revised rate</vt:lpstr>
      <vt:lpstr>AOP (2)</vt:lpstr>
      <vt:lpstr>Sheet1</vt:lpstr>
      <vt:lpstr>SOR</vt:lpstr>
      <vt:lpstr>SOR!Print_Area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dc:creator>
  <cp:lastModifiedBy>GNG PL</cp:lastModifiedBy>
  <cp:lastPrinted>2026-09-28T05:14:30Z</cp:lastPrinted>
  <dcterms:created xsi:type="dcterms:W3CDTF">2023-03-20T15:17:59Z</dcterms:created>
  <dcterms:modified xsi:type="dcterms:W3CDTF">2026-09-30T11:45:52Z</dcterms:modified>
</cp:coreProperties>
</file>